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showInkAnnotation="0" codeName="DieseArbeitsmappe"/>
  <mc:AlternateContent xmlns:mc="http://schemas.openxmlformats.org/markup-compatibility/2006">
    <mc:Choice Requires="x15">
      <x15ac:absPath xmlns:x15ac="http://schemas.microsoft.com/office/spreadsheetml/2010/11/ac" url="C:\Daten\Projekte\IBZ Brennstoffzelle\Exceltool - 2016\"/>
    </mc:Choice>
  </mc:AlternateContent>
  <workbookProtection workbookPassword="DF50" lockStructure="1"/>
  <bookViews>
    <workbookView xWindow="0" yWindow="0" windowWidth="11490" windowHeight="4035" firstSheet="2" activeTab="4"/>
  </bookViews>
  <sheets>
    <sheet name="Tabelle1" sheetId="1" state="hidden" r:id="rId1"/>
    <sheet name="Nutzungsgrad BW" sheetId="5" state="hidden" r:id="rId2"/>
    <sheet name="Hinweise" sheetId="4" r:id="rId3"/>
    <sheet name="EnEV-Bewertung" sheetId="7" r:id="rId4"/>
    <sheet name="Berechnungstool" sheetId="2" r:id="rId5"/>
  </sheets>
  <definedNames>
    <definedName name="AABB" localSheetId="3">#REF!</definedName>
    <definedName name="AABB">#REF!</definedName>
    <definedName name="AB" localSheetId="3">#REF!</definedName>
    <definedName name="AB">#REF!</definedName>
    <definedName name="BZ_Typ" localSheetId="3">#REF!</definedName>
    <definedName name="BZ_Typ">#REF!</definedName>
    <definedName name="Gebäudeart">Tabelle1!$I$12:$I$14</definedName>
    <definedName name="Hersteller" localSheetId="3">#REF!</definedName>
    <definedName name="Hersteller">#REF!</definedName>
    <definedName name="Hersteller_neu">Tabelle1!$R$13:$AF$13</definedName>
    <definedName name="Lala">Tabelle1!$R$13:$Z$13</definedName>
    <definedName name="Viessmann" localSheetId="1">'Nutzungsgrad BW'!#REF!</definedName>
    <definedName name="Wärmeerzeugungsanlage">Tabelle1!$M$12:$M$13</definedName>
    <definedName name="WG_Spitzenlastwärmeerzeuger">Tabelle1!$I$17:$I$17</definedName>
  </definedNames>
  <calcPr calcId="152511"/>
</workbook>
</file>

<file path=xl/calcChain.xml><?xml version="1.0" encoding="utf-8"?>
<calcChain xmlns="http://schemas.openxmlformats.org/spreadsheetml/2006/main">
  <c r="AA21" i="1" l="1"/>
  <c r="B55" i="2" l="1"/>
  <c r="A24" i="7"/>
  <c r="A23" i="7"/>
  <c r="D26" i="2" l="1"/>
  <c r="M19" i="1" l="1"/>
  <c r="A15" i="7" l="1"/>
  <c r="B22" i="2"/>
  <c r="B20" i="2"/>
  <c r="B19" i="2"/>
  <c r="G78" i="1"/>
  <c r="G77" i="1"/>
  <c r="G76" i="1"/>
  <c r="G75" i="1"/>
  <c r="E35" i="5" l="1"/>
  <c r="F10" i="1"/>
  <c r="E29" i="5"/>
  <c r="F78" i="1" l="1"/>
  <c r="F77" i="1"/>
  <c r="F76" i="1"/>
  <c r="F75" i="1"/>
  <c r="G74" i="1"/>
  <c r="F74" i="1"/>
  <c r="G73" i="1"/>
  <c r="F73" i="1"/>
  <c r="G72" i="1"/>
  <c r="F72" i="1"/>
  <c r="G71" i="1"/>
  <c r="F71" i="1"/>
  <c r="G70" i="1"/>
  <c r="F70" i="1"/>
  <c r="G69" i="1"/>
  <c r="F69" i="1"/>
  <c r="M23" i="1" l="1"/>
  <c r="M22" i="1"/>
  <c r="M21" i="1"/>
  <c r="M18" i="1"/>
  <c r="M20" i="1"/>
  <c r="M17" i="1"/>
  <c r="M16" i="1"/>
  <c r="G17" i="1" l="1"/>
  <c r="G14" i="1" l="1"/>
  <c r="F17" i="1"/>
  <c r="F33" i="1" s="1"/>
  <c r="K22" i="1"/>
  <c r="K21" i="1"/>
  <c r="A34" i="2"/>
  <c r="A33" i="2"/>
  <c r="A28" i="2"/>
  <c r="H2" i="2" l="1"/>
  <c r="E41" i="5" l="1"/>
  <c r="H16" i="2"/>
  <c r="M24" i="1"/>
  <c r="M15" i="1"/>
  <c r="S84" i="1"/>
  <c r="H12" i="5" l="1"/>
  <c r="H13" i="5"/>
  <c r="H14" i="5"/>
  <c r="H15" i="5"/>
  <c r="H16" i="5"/>
  <c r="H17" i="5"/>
  <c r="E24" i="5"/>
  <c r="E25" i="5" s="1"/>
  <c r="H20" i="5" s="1"/>
  <c r="E38" i="5"/>
  <c r="E46" i="5"/>
  <c r="G8" i="2" l="1"/>
  <c r="D29" i="2" l="1"/>
  <c r="D22" i="2" l="1"/>
  <c r="D21" i="2" l="1"/>
  <c r="H65" i="1" s="1"/>
  <c r="F4" i="1"/>
  <c r="E40" i="5"/>
  <c r="I21" i="1"/>
  <c r="I22" i="1" s="1"/>
  <c r="D23" i="2" l="1"/>
  <c r="E36" i="5"/>
  <c r="E37" i="5"/>
  <c r="E42" i="5"/>
  <c r="F42" i="5" s="1"/>
  <c r="H33" i="1"/>
  <c r="F8" i="1"/>
  <c r="F6" i="1"/>
  <c r="O2" i="5" l="1"/>
  <c r="O3" i="5" s="1"/>
  <c r="H66" i="1"/>
  <c r="K4" i="1"/>
  <c r="G27" i="2"/>
  <c r="K6" i="1" l="1"/>
  <c r="K8" i="1"/>
  <c r="H6" i="1"/>
  <c r="H4" i="1"/>
  <c r="P49" i="1" l="1"/>
  <c r="AA14" i="1" l="1"/>
  <c r="F19" i="1" s="1"/>
  <c r="I18" i="1" l="1"/>
  <c r="S86" i="1" s="1"/>
  <c r="Y33" i="1" l="1"/>
  <c r="E2" i="5" l="1"/>
  <c r="D39" i="2"/>
  <c r="AA33" i="1"/>
  <c r="J25" i="1" s="1"/>
  <c r="X33" i="1"/>
  <c r="W33" i="1"/>
  <c r="AA34" i="1" l="1"/>
  <c r="J26" i="1" s="1"/>
  <c r="W35" i="1" l="1"/>
  <c r="W34" i="1"/>
  <c r="X34" i="1"/>
  <c r="E3" i="5"/>
  <c r="Y34" i="1"/>
  <c r="E4" i="5"/>
  <c r="AA35" i="1"/>
  <c r="J27" i="1" s="1"/>
  <c r="D40" i="2" l="1"/>
  <c r="X35" i="1"/>
  <c r="Y35" i="1"/>
  <c r="G57" i="2" l="1"/>
  <c r="Y36" i="1" l="1"/>
  <c r="AA36" i="1" l="1"/>
  <c r="J28" i="1" s="1"/>
  <c r="W36" i="1"/>
  <c r="E5" i="5"/>
  <c r="E45" i="5" s="1"/>
  <c r="E47" i="5" s="1"/>
  <c r="X36" i="1"/>
  <c r="E50" i="5" l="1"/>
  <c r="E51" i="5" s="1"/>
  <c r="E52" i="5" l="1"/>
  <c r="B39" i="2"/>
  <c r="AA16" i="1"/>
  <c r="F23" i="1"/>
  <c r="F49" i="1" s="1"/>
  <c r="AA17" i="1"/>
  <c r="F25" i="1" s="1"/>
  <c r="AA19" i="1"/>
  <c r="F29" i="1" s="1"/>
  <c r="AA20" i="1"/>
  <c r="F31" i="1"/>
  <c r="AA22" i="1"/>
  <c r="F35" i="1" s="1"/>
  <c r="AA24" i="1"/>
  <c r="F39" i="1" s="1"/>
  <c r="AA25" i="1"/>
  <c r="F41" i="1"/>
  <c r="AA26" i="1"/>
  <c r="F43" i="1" s="1"/>
  <c r="AA23" i="1"/>
  <c r="F37" i="1" s="1"/>
  <c r="AA15" i="1"/>
  <c r="F21" i="1" s="1"/>
  <c r="AA29" i="1"/>
  <c r="AA30" i="1"/>
  <c r="AA18" i="1"/>
  <c r="F27" i="1"/>
  <c r="AA28" i="1"/>
  <c r="AA27" i="1"/>
  <c r="H84" i="1"/>
  <c r="E49" i="1"/>
  <c r="S56" i="1" l="1"/>
  <c r="S58" i="1" s="1"/>
  <c r="B49" i="1"/>
  <c r="E51" i="1"/>
  <c r="B47" i="1"/>
  <c r="F45" i="1"/>
  <c r="S54" i="1"/>
  <c r="B45" i="1"/>
  <c r="S64" i="1"/>
  <c r="B51" i="1"/>
  <c r="G45" i="1"/>
  <c r="S65" i="1"/>
  <c r="F47" i="1"/>
  <c r="S67" i="1"/>
  <c r="E47" i="1"/>
  <c r="G49" i="1"/>
  <c r="N37" i="1"/>
  <c r="N43" i="1"/>
  <c r="N47" i="1" s="1"/>
  <c r="N39" i="1"/>
  <c r="N35" i="1"/>
  <c r="F51" i="1"/>
  <c r="S72" i="1" s="1"/>
  <c r="E32" i="5" s="1"/>
  <c r="E44" i="5" l="1"/>
  <c r="E48" i="5" s="1"/>
  <c r="E49" i="5"/>
  <c r="S74" i="1"/>
  <c r="S62" i="1"/>
  <c r="H49" i="1"/>
  <c r="N41" i="1"/>
  <c r="N45" i="1"/>
  <c r="T77" i="1" s="1"/>
  <c r="S60" i="1"/>
  <c r="U65" i="1" s="1"/>
  <c r="U81" i="1"/>
  <c r="S63" i="1" l="1"/>
  <c r="S82" i="1" s="1"/>
  <c r="U68" i="1"/>
  <c r="S68" i="1" s="1"/>
  <c r="T68" i="1" s="1"/>
  <c r="S80" i="1"/>
  <c r="S81" i="1"/>
  <c r="S77" i="1"/>
  <c r="V79" i="1" s="1"/>
  <c r="I33" i="1"/>
  <c r="H28" i="2" s="1"/>
  <c r="H40" i="2"/>
  <c r="D38" i="2" s="1"/>
  <c r="N49" i="1"/>
  <c r="S75" i="1"/>
  <c r="U75" i="1" s="1"/>
  <c r="E56" i="5"/>
  <c r="I50" i="1"/>
  <c r="I49" i="1"/>
  <c r="E53" i="5"/>
  <c r="E54" i="5"/>
  <c r="E55" i="5" s="1"/>
  <c r="U70" i="1" l="1"/>
  <c r="V70" i="1"/>
  <c r="T70" i="1"/>
  <c r="F55" i="1"/>
  <c r="S70" i="1"/>
  <c r="S71" i="1" s="1"/>
  <c r="S85" i="1" l="1"/>
  <c r="S88" i="1" s="1"/>
  <c r="S83" i="1" s="1"/>
  <c r="J59" i="1"/>
  <c r="F61" i="1" l="1"/>
  <c r="J57" i="1"/>
  <c r="F63" i="1"/>
  <c r="G63" i="1" s="1"/>
  <c r="J58" i="1"/>
  <c r="F65" i="1"/>
  <c r="F57" i="1"/>
  <c r="F59" i="1"/>
</calcChain>
</file>

<file path=xl/comments1.xml><?xml version="1.0" encoding="utf-8"?>
<comments xmlns="http://schemas.openxmlformats.org/spreadsheetml/2006/main">
  <authors>
    <author>Bernadetta Winiewska</author>
  </authors>
  <commentList>
    <comment ref="D19" authorId="0" shapeId="0">
      <text>
        <r>
          <rPr>
            <sz val="9"/>
            <color indexed="81"/>
            <rFont val="Calibri"/>
            <family val="2"/>
            <scheme val="major"/>
          </rPr>
          <t xml:space="preserve">Wärmemenge, die von den Wärmeerzeugern bereitzustellen ist. Diese Wärmemenge setzt sich aus dem Heizwärmebedarf des Gebäudes (abzüglich der Heizwärmegutschriften der Trinkwassererwärmung im beheizten Bereich und ggf. dem Anteil am Heizwärmebedarf durch eine Lüftungsanlage) sowie den Wärmeaufwänden für die Übergabe, Verteilung und Speicherung zusammen. </t>
        </r>
      </text>
    </comment>
    <comment ref="D20" authorId="0" shapeId="0">
      <text>
        <r>
          <rPr>
            <sz val="9"/>
            <color indexed="81"/>
            <rFont val="Calibri"/>
            <family val="2"/>
            <scheme val="major"/>
          </rPr>
          <t>Wärmemenge, die von den
Wärmeerzeugern bereitzustellen ist. Diese Wärmemenge setzt sich aus dem Trinkwasserwärmebedarf des Gebäudes
und den Wärmeverlusten der Wärmeübergabe, -Verteilung und – Speicherung zusammen.</t>
        </r>
      </text>
    </comment>
    <comment ref="D24" authorId="0" shapeId="0">
      <text>
        <r>
          <rPr>
            <sz val="9"/>
            <color indexed="81"/>
            <rFont val="Calibri"/>
            <family val="2"/>
            <scheme val="major"/>
          </rPr>
          <t>Bezugsfläche nach EnEV bei Wohngebäuden,  wird  wie folgt ermittelt: AN=0,32*Ve. Dabei ist AN die Gebäudenutzfläche in m², Ve beheiztes Gebäudevolumen in m³</t>
        </r>
      </text>
    </comment>
  </commentList>
</comments>
</file>

<file path=xl/sharedStrings.xml><?xml version="1.0" encoding="utf-8"?>
<sst xmlns="http://schemas.openxmlformats.org/spreadsheetml/2006/main" count="615" uniqueCount="445">
  <si>
    <t>Modulation</t>
  </si>
  <si>
    <t>max. kont. Betriebszeit /Tag</t>
  </si>
  <si>
    <t>max Betriebstemperatur</t>
  </si>
  <si>
    <t>eingeschränktes Taktverhalten</t>
  </si>
  <si>
    <t>Wärmespeichervolumen</t>
  </si>
  <si>
    <t>Rücklauftemperatur</t>
  </si>
  <si>
    <t>Wärmeabgabe an Gebäude</t>
  </si>
  <si>
    <t>Wärmeabgabe für Trinkwarmwasser</t>
  </si>
  <si>
    <t>Nutzfläche</t>
  </si>
  <si>
    <t>spezifische Wärmeabgabe Heizung</t>
  </si>
  <si>
    <t>mittl. Leistung für Trinkwarmwasser</t>
  </si>
  <si>
    <t>Anzahl Heiztage im Jahr</t>
  </si>
  <si>
    <t>elektr. Nettowirkungsgrad</t>
  </si>
  <si>
    <t>Gesamtnettowirkungsgrad</t>
  </si>
  <si>
    <t>elektr. Leistung</t>
  </si>
  <si>
    <t>Eigenstromverbrauch Start/Stop</t>
  </si>
  <si>
    <t>Brennstoffbedarf KWK</t>
  </si>
  <si>
    <t>Gesamt-Stromproduktion KWK</t>
  </si>
  <si>
    <t>Primärenergiefaktor</t>
  </si>
  <si>
    <t>kWh/a</t>
  </si>
  <si>
    <t>m²</t>
  </si>
  <si>
    <t>kWh/m²a</t>
  </si>
  <si>
    <t>kW</t>
  </si>
  <si>
    <t>d/a</t>
  </si>
  <si>
    <t>h</t>
  </si>
  <si>
    <t>°C</t>
  </si>
  <si>
    <t>l</t>
  </si>
  <si>
    <t>kWh/Vorgang</t>
  </si>
  <si>
    <t xml:space="preserve">gemittelt über Nutzungsdauer </t>
  </si>
  <si>
    <t>Kennwerte zur Bestimmung mittlerer Kennwerte über die Nutzungsdauer</t>
  </si>
  <si>
    <t>Elektrischer Wirkungsgrad</t>
  </si>
  <si>
    <t>Gesamtwirkungs-grad</t>
  </si>
  <si>
    <t>Elektrische Leistung</t>
  </si>
  <si>
    <t>Koeffizient</t>
  </si>
  <si>
    <t>a</t>
  </si>
  <si>
    <t>b</t>
  </si>
  <si>
    <t>c</t>
  </si>
  <si>
    <t>SOFC</t>
  </si>
  <si>
    <t>PEM</t>
  </si>
  <si>
    <t>elektr. WG</t>
  </si>
  <si>
    <t>Gesamt-WG</t>
  </si>
  <si>
    <t>elektr. Leist.</t>
  </si>
  <si>
    <t>th. WG 30</t>
  </si>
  <si>
    <t>th. WG 50</t>
  </si>
  <si>
    <t>Art</t>
  </si>
  <si>
    <t>min. therm. Leistung Abschalten</t>
  </si>
  <si>
    <t>th. Leist. 30</t>
  </si>
  <si>
    <t>th. Leist. 50</t>
  </si>
  <si>
    <t>th.L. 30 korr.</t>
  </si>
  <si>
    <t>Korrekturfaktoren</t>
  </si>
  <si>
    <t>Anmerkungen</t>
  </si>
  <si>
    <t>Wenn beide Bedingungen erfüllt:</t>
  </si>
  <si>
    <t>in allen anderen Fällen</t>
  </si>
  <si>
    <t>Energetische Bewertung von Brennstoffzellen</t>
  </si>
  <si>
    <t>min. th. Leistung bei unterer MG</t>
  </si>
  <si>
    <t>Modulationsgrad</t>
  </si>
  <si>
    <t>Modulationsfaktor</t>
  </si>
  <si>
    <t>Hersteller</t>
  </si>
  <si>
    <t>Max. Temp</t>
  </si>
  <si>
    <t>Eingeschr. Taktverhalten</t>
  </si>
  <si>
    <t>max. kont. Betriebszeit/Tag</t>
  </si>
  <si>
    <t>Abschalten bei th. L. von</t>
  </si>
  <si>
    <t>elektr. Wirkungsgrad</t>
  </si>
  <si>
    <t>therm. Wirkungsgrad bei unt. MG</t>
  </si>
  <si>
    <t>elektr. Leistung bei unt. MG</t>
  </si>
  <si>
    <t>elektr. Wirkungsgrad bei unt. MG</t>
  </si>
  <si>
    <t>Name</t>
  </si>
  <si>
    <t>ja</t>
  </si>
  <si>
    <t>untere Modulationsgrenze th. L.</t>
  </si>
  <si>
    <t>Dauerbetrieb</t>
  </si>
  <si>
    <t>ohne Modulation</t>
  </si>
  <si>
    <t>mit Modulation</t>
  </si>
  <si>
    <t>Berechnungen für minimale Modulation</t>
  </si>
  <si>
    <t>Modulationsgrad erforderlich</t>
  </si>
  <si>
    <t>elektr. Leistung bei Mod-Grad</t>
  </si>
  <si>
    <t>Sommerpause</t>
  </si>
  <si>
    <t>min. thermische Leistung zum Abschalten</t>
  </si>
  <si>
    <t>Pause</t>
  </si>
  <si>
    <t>Abschaltkriterium: untere Modulationsgrenze</t>
  </si>
  <si>
    <t>Pmin</t>
  </si>
  <si>
    <t>=</t>
  </si>
  <si>
    <t>x</t>
  </si>
  <si>
    <t xml:space="preserve">unt. Mod.-Grenze </t>
  </si>
  <si>
    <t>Deckungsanteil</t>
  </si>
  <si>
    <t>d</t>
  </si>
  <si>
    <t>e</t>
  </si>
  <si>
    <t>f</t>
  </si>
  <si>
    <t>g</t>
  </si>
  <si>
    <t>i</t>
  </si>
  <si>
    <t>Überschreitung der Grenztemperatur</t>
  </si>
  <si>
    <t>&gt; 0 bis ≤ 5 K</t>
  </si>
  <si>
    <t>&gt; 5 bis ≤ 10 K</t>
  </si>
  <si>
    <t>&gt; 10 K</t>
  </si>
  <si>
    <t>K</t>
  </si>
  <si>
    <t>K*</t>
  </si>
  <si>
    <t>mit Grenztemperatur</t>
  </si>
  <si>
    <t>K**</t>
  </si>
  <si>
    <t>mit Sommerpause</t>
  </si>
  <si>
    <t xml:space="preserve">Rücklauftemperatur </t>
  </si>
  <si>
    <t>Grenzwert</t>
  </si>
  <si>
    <t>th. Leistung 30</t>
  </si>
  <si>
    <t>m</t>
  </si>
  <si>
    <t>n</t>
  </si>
  <si>
    <t>o</t>
  </si>
  <si>
    <t>p</t>
  </si>
  <si>
    <t>Wärmeabgabe BZ, Jahr</t>
  </si>
  <si>
    <t>mittl. therm. Leistung</t>
  </si>
  <si>
    <t>Therm. Jahresnutzungsgrad</t>
  </si>
  <si>
    <t>Mittl. therm. Leistung im Jahr</t>
  </si>
  <si>
    <t>Anzahl Starts</t>
  </si>
  <si>
    <t>Stromproduktion Jahressumme</t>
  </si>
  <si>
    <t>Stromproduktion und Endenergie</t>
  </si>
  <si>
    <t>Endenergie für Wärme</t>
  </si>
  <si>
    <t>Netznutzungsgrad</t>
  </si>
  <si>
    <t>Nutzungsgrad Spitzenlastwärmeerzeuger</t>
  </si>
  <si>
    <t xml:space="preserve">Primärenergiefaktor für o.g. Endenergie </t>
  </si>
  <si>
    <t>Primärenergiefaktoren</t>
  </si>
  <si>
    <t>Gas</t>
  </si>
  <si>
    <t>Verdrängungsstrommix</t>
  </si>
  <si>
    <t>Allgemeiner Strommix</t>
  </si>
  <si>
    <t>AN</t>
  </si>
  <si>
    <t>qh,outg,a</t>
  </si>
  <si>
    <t>Pw,outg</t>
  </si>
  <si>
    <t>th,a</t>
  </si>
  <si>
    <t>Deckungsanteil korrigiert mit evtl Pause</t>
  </si>
  <si>
    <t>mittlere el. L. bei unterer MG</t>
  </si>
  <si>
    <t>Allgemeine Gebäudedaten</t>
  </si>
  <si>
    <t>Allgemeine Angaben zur Brennstoffzelle</t>
  </si>
  <si>
    <t>Ergebnisse</t>
  </si>
  <si>
    <t>Betrieb</t>
  </si>
  <si>
    <t>Anzahl Start/Stopp-Vorgänge</t>
  </si>
  <si>
    <t>Dauerbetrieb möglich</t>
  </si>
  <si>
    <t>Allgemeine Projektdaten</t>
  </si>
  <si>
    <t>Projekt-Nr.</t>
  </si>
  <si>
    <t>Straße</t>
  </si>
  <si>
    <t>Ersteller</t>
  </si>
  <si>
    <t xml:space="preserve">Datum </t>
  </si>
  <si>
    <t xml:space="preserve">Wärmespeichervolumen </t>
  </si>
  <si>
    <t>Deckungsanteil der Brennstoffzelle</t>
  </si>
  <si>
    <t>Bereichsfehler:</t>
  </si>
  <si>
    <t>Gebäudeart</t>
  </si>
  <si>
    <t>Einfamilienhaus</t>
  </si>
  <si>
    <t>Mehrfamilienhaus</t>
  </si>
  <si>
    <t>Wohnähnliche Nutzung</t>
  </si>
  <si>
    <t>Gesamtbrennstoffbedarf Anlage</t>
  </si>
  <si>
    <t>Wirkungsgrad Spitzenlastwärmeerzeuger</t>
  </si>
  <si>
    <t>Standardwert (93%)</t>
  </si>
  <si>
    <t>Wert:</t>
  </si>
  <si>
    <r>
      <t>Q</t>
    </r>
    <r>
      <rPr>
        <vertAlign val="subscript"/>
        <sz val="10"/>
        <color theme="1"/>
        <rFont val="Arial"/>
        <family val="2"/>
      </rPr>
      <t>outg,a</t>
    </r>
  </si>
  <si>
    <r>
      <t>Ƞ</t>
    </r>
    <r>
      <rPr>
        <vertAlign val="subscript"/>
        <sz val="10"/>
        <color theme="1"/>
        <rFont val="Arial"/>
        <family val="2"/>
      </rPr>
      <t>el,CHP,BOL</t>
    </r>
    <r>
      <rPr>
        <sz val="10"/>
        <color theme="1"/>
        <rFont val="Arial"/>
        <family val="2"/>
      </rPr>
      <t xml:space="preserve"> </t>
    </r>
  </si>
  <si>
    <r>
      <t>Ƞ</t>
    </r>
    <r>
      <rPr>
        <vertAlign val="subscript"/>
        <sz val="10"/>
        <color theme="1"/>
        <rFont val="Arial"/>
        <family val="2"/>
      </rPr>
      <t>CHP,BOL</t>
    </r>
    <r>
      <rPr>
        <sz val="10"/>
        <color theme="1"/>
        <rFont val="Arial"/>
        <family val="2"/>
      </rPr>
      <t xml:space="preserve"> </t>
    </r>
  </si>
  <si>
    <r>
      <t>P</t>
    </r>
    <r>
      <rPr>
        <vertAlign val="subscript"/>
        <sz val="10"/>
        <color theme="1"/>
        <rFont val="Arial"/>
        <family val="2"/>
      </rPr>
      <t xml:space="preserve">el,CHP,BOL </t>
    </r>
  </si>
  <si>
    <r>
      <t>P</t>
    </r>
    <r>
      <rPr>
        <vertAlign val="subscript"/>
        <sz val="10"/>
        <color theme="1"/>
        <rFont val="Arial"/>
        <family val="2"/>
      </rPr>
      <t xml:space="preserve">th,CHP,w,BOL </t>
    </r>
  </si>
  <si>
    <r>
      <t>Q</t>
    </r>
    <r>
      <rPr>
        <vertAlign val="subscript"/>
        <sz val="10"/>
        <color theme="1"/>
        <rFont val="Arial"/>
        <family val="2"/>
      </rPr>
      <t xml:space="preserve">f,aux,CHP </t>
    </r>
  </si>
  <si>
    <t>PLZ, Ort</t>
  </si>
  <si>
    <t>Brennstoffzellen-Typ</t>
  </si>
  <si>
    <t>Thermische Modulation</t>
  </si>
  <si>
    <t>Dauerhafte Betriebsunterbrechung im Sommer zum Vermeiden von Takten</t>
  </si>
  <si>
    <r>
      <t>Q</t>
    </r>
    <r>
      <rPr>
        <vertAlign val="subscript"/>
        <sz val="10"/>
        <color theme="1"/>
        <rFont val="Arial"/>
        <family val="2"/>
      </rPr>
      <t>h,outg,a</t>
    </r>
  </si>
  <si>
    <r>
      <t>Q</t>
    </r>
    <r>
      <rPr>
        <vertAlign val="subscript"/>
        <sz val="10"/>
        <color theme="1"/>
        <rFont val="Arial"/>
        <family val="2"/>
      </rPr>
      <t>w,outg,a</t>
    </r>
  </si>
  <si>
    <r>
      <t>η</t>
    </r>
    <r>
      <rPr>
        <vertAlign val="subscript"/>
        <sz val="10"/>
        <color theme="1"/>
        <rFont val="Arial"/>
        <family val="2"/>
      </rPr>
      <t>HP</t>
    </r>
  </si>
  <si>
    <r>
      <t>A</t>
    </r>
    <r>
      <rPr>
        <i/>
        <vertAlign val="subscript"/>
        <sz val="10"/>
        <color theme="1"/>
        <rFont val="Arial"/>
        <family val="2"/>
      </rPr>
      <t>N</t>
    </r>
  </si>
  <si>
    <r>
      <t>θ</t>
    </r>
    <r>
      <rPr>
        <vertAlign val="subscript"/>
        <sz val="10"/>
        <color theme="1"/>
        <rFont val="Arial"/>
        <family val="2"/>
      </rPr>
      <t>RA</t>
    </r>
  </si>
  <si>
    <r>
      <t>d</t>
    </r>
    <r>
      <rPr>
        <vertAlign val="subscript"/>
        <sz val="10"/>
        <color theme="1"/>
        <rFont val="Arial"/>
        <family val="2"/>
      </rPr>
      <t>CHP</t>
    </r>
  </si>
  <si>
    <r>
      <t>θ</t>
    </r>
    <r>
      <rPr>
        <vertAlign val="subscript"/>
        <sz val="10"/>
        <color theme="1"/>
        <rFont val="Arial"/>
        <family val="2"/>
      </rPr>
      <t>Grenz</t>
    </r>
  </si>
  <si>
    <r>
      <t>P</t>
    </r>
    <r>
      <rPr>
        <vertAlign val="subscript"/>
        <sz val="10"/>
        <color theme="1"/>
        <rFont val="Arial"/>
        <family val="2"/>
      </rPr>
      <t>min</t>
    </r>
  </si>
  <si>
    <r>
      <rPr>
        <sz val="10"/>
        <color theme="1"/>
        <rFont val="Arial"/>
        <family val="2"/>
      </rPr>
      <t>V</t>
    </r>
    <r>
      <rPr>
        <vertAlign val="subscript"/>
        <sz val="10"/>
        <color theme="1"/>
        <rFont val="Arial"/>
        <family val="2"/>
      </rPr>
      <t>PS</t>
    </r>
  </si>
  <si>
    <r>
      <t>P</t>
    </r>
    <r>
      <rPr>
        <vertAlign val="subscript"/>
        <sz val="10"/>
        <color theme="1"/>
        <rFont val="Arial"/>
        <family val="2"/>
      </rPr>
      <t>th,CHP</t>
    </r>
  </si>
  <si>
    <t>nein</t>
  </si>
  <si>
    <t>Endenergie</t>
  </si>
  <si>
    <t>Wärmeerzeugungsanlage</t>
  </si>
  <si>
    <t>Gebäudeintegriert</t>
  </si>
  <si>
    <t>Außerhalb des Gebäudes</t>
  </si>
  <si>
    <r>
      <t>η</t>
    </r>
    <r>
      <rPr>
        <vertAlign val="subscript"/>
        <sz val="10"/>
        <color theme="4" tint="0.79998168889431442"/>
        <rFont val="Arial"/>
        <family val="2"/>
      </rPr>
      <t>HN</t>
    </r>
  </si>
  <si>
    <t>Galileo 1000 N</t>
  </si>
  <si>
    <t>-</t>
  </si>
  <si>
    <t>Symbol</t>
  </si>
  <si>
    <t>therm. Leistung</t>
  </si>
  <si>
    <t>Brennstoffzelle mit einge-
schränktem Taktverhalten</t>
  </si>
  <si>
    <t>Thermischer Netto-Wirkungsgrad 
bei unterer Modulationsgrenze</t>
  </si>
  <si>
    <r>
      <t>Q</t>
    </r>
    <r>
      <rPr>
        <vertAlign val="subscript"/>
        <sz val="10"/>
        <color theme="1"/>
        <rFont val="Arial Narrow"/>
        <family val="2"/>
      </rPr>
      <t xml:space="preserve">f,prod,CHP,a </t>
    </r>
  </si>
  <si>
    <t>Link</t>
  </si>
  <si>
    <t>Altenativ können Sie den kostenlosen IBZ-Newsletter bestellen, damit Sie über die Updates per E-Mail benachrichtig werden können.</t>
  </si>
  <si>
    <t xml:space="preserve">überprüfen, ob eine neuere Version zur Verfügung steht. </t>
  </si>
  <si>
    <t>http://www.ibz-info.de/news.html</t>
  </si>
  <si>
    <t xml:space="preserve">Bitte stets unter </t>
  </si>
  <si>
    <t>Die Qualität der Ergebnisse ist von der Güte der Eingabewerte abhängig, der Nutzer ist für diese (bis auf die Brennstoffzellen-Kennwerte) selbst verantwortlich.</t>
  </si>
  <si>
    <t>Anwendungshinweise:</t>
  </si>
  <si>
    <t>Folgende Ausgangsgrößen werden ermittelt:</t>
  </si>
  <si>
    <t>Bei der Berechnung werden folgende Eingangsgrößen berücksichtigt:</t>
  </si>
  <si>
    <t>bezogen werden.</t>
  </si>
  <si>
    <t>Beuth Verlag</t>
  </si>
  <si>
    <t xml:space="preserve">Die Norm kann beim </t>
  </si>
  <si>
    <t>Das Exceltool setzt den Algorithmus der DIN SPEC 32737 um und bildet die marktverfügbaren Brennstoffzellen-Heizgeräte ab.</t>
  </si>
  <si>
    <t>Exceltool zur DIN SPEC 32737 „Energetische Bewertung gebäudetechnischer Anlagen - Brennstoffzellen“</t>
  </si>
  <si>
    <r>
      <t>Q</t>
    </r>
    <r>
      <rPr>
        <sz val="11"/>
        <color theme="1"/>
        <rFont val="Calibri"/>
        <family val="2"/>
        <scheme val="major"/>
      </rPr>
      <t>outg,a</t>
    </r>
  </si>
  <si>
    <r>
      <t>Q</t>
    </r>
    <r>
      <rPr>
        <sz val="11"/>
        <color theme="1"/>
        <rFont val="Calibri"/>
        <family val="2"/>
        <scheme val="major"/>
      </rPr>
      <t>w,outg,a</t>
    </r>
  </si>
  <si>
    <r>
      <t>θ</t>
    </r>
    <r>
      <rPr>
        <vertAlign val="subscript"/>
        <sz val="11"/>
        <color theme="1"/>
        <rFont val="Calibri"/>
        <family val="2"/>
        <scheme val="major"/>
      </rPr>
      <t>RA</t>
    </r>
  </si>
  <si>
    <r>
      <t>V</t>
    </r>
    <r>
      <rPr>
        <vertAlign val="subscript"/>
        <sz val="11"/>
        <color theme="1"/>
        <rFont val="Calibri"/>
        <family val="2"/>
        <scheme val="major"/>
      </rPr>
      <t>PS</t>
    </r>
  </si>
  <si>
    <r>
      <t>d</t>
    </r>
    <r>
      <rPr>
        <vertAlign val="subscript"/>
        <sz val="11"/>
        <color theme="1"/>
        <rFont val="Calibri"/>
        <family val="2"/>
        <scheme val="major"/>
      </rPr>
      <t>CHP</t>
    </r>
  </si>
  <si>
    <r>
      <t>θ</t>
    </r>
    <r>
      <rPr>
        <vertAlign val="subscript"/>
        <sz val="11"/>
        <color theme="1"/>
        <rFont val="Calibri"/>
        <family val="2"/>
        <scheme val="major"/>
      </rPr>
      <t>Grenz</t>
    </r>
  </si>
  <si>
    <r>
      <t>P</t>
    </r>
    <r>
      <rPr>
        <vertAlign val="subscript"/>
        <sz val="11"/>
        <color theme="1"/>
        <rFont val="Calibri"/>
        <family val="2"/>
        <scheme val="major"/>
      </rPr>
      <t>min</t>
    </r>
  </si>
  <si>
    <r>
      <rPr>
        <sz val="11"/>
        <color theme="1"/>
        <rFont val="Calibri"/>
        <family val="2"/>
        <scheme val="major"/>
      </rPr>
      <t>V</t>
    </r>
    <r>
      <rPr>
        <vertAlign val="subscript"/>
        <sz val="11"/>
        <color theme="1"/>
        <rFont val="Calibri"/>
        <family val="2"/>
        <scheme val="major"/>
      </rPr>
      <t>PS</t>
    </r>
  </si>
  <si>
    <r>
      <t>Ƞ</t>
    </r>
    <r>
      <rPr>
        <vertAlign val="subscript"/>
        <sz val="11"/>
        <color theme="1"/>
        <rFont val="Calibri"/>
        <family val="2"/>
        <scheme val="major"/>
      </rPr>
      <t>el,CHP,BOL</t>
    </r>
    <r>
      <rPr>
        <sz val="11"/>
        <color theme="1"/>
        <rFont val="Calibri"/>
        <family val="2"/>
        <scheme val="major"/>
      </rPr>
      <t xml:space="preserve"> </t>
    </r>
  </si>
  <si>
    <r>
      <t>Ƞ</t>
    </r>
    <r>
      <rPr>
        <vertAlign val="subscript"/>
        <sz val="11"/>
        <color theme="1"/>
        <rFont val="Calibri"/>
        <family val="2"/>
        <scheme val="major"/>
      </rPr>
      <t>CHP,BOL</t>
    </r>
    <r>
      <rPr>
        <sz val="11"/>
        <color theme="1"/>
        <rFont val="Calibri"/>
        <family val="2"/>
        <scheme val="major"/>
      </rPr>
      <t xml:space="preserve"> </t>
    </r>
  </si>
  <si>
    <r>
      <t>P</t>
    </r>
    <r>
      <rPr>
        <vertAlign val="subscript"/>
        <sz val="11"/>
        <color theme="1"/>
        <rFont val="Calibri"/>
        <family val="2"/>
        <scheme val="major"/>
      </rPr>
      <t xml:space="preserve">el,CHP,BOL </t>
    </r>
  </si>
  <si>
    <r>
      <t>P</t>
    </r>
    <r>
      <rPr>
        <vertAlign val="subscript"/>
        <sz val="11"/>
        <color theme="1"/>
        <rFont val="Calibri"/>
        <family val="2"/>
        <scheme val="major"/>
      </rPr>
      <t xml:space="preserve">th,CHP,w,BOL </t>
    </r>
  </si>
  <si>
    <r>
      <t>Q</t>
    </r>
    <r>
      <rPr>
        <vertAlign val="subscript"/>
        <sz val="11"/>
        <color theme="1"/>
        <rFont val="Calibri"/>
        <family val="2"/>
        <scheme val="major"/>
      </rPr>
      <t xml:space="preserve">f,aux,CHP </t>
    </r>
  </si>
  <si>
    <r>
      <t>P</t>
    </r>
    <r>
      <rPr>
        <vertAlign val="subscript"/>
        <sz val="11"/>
        <color theme="1"/>
        <rFont val="Calibri"/>
        <family val="2"/>
        <scheme val="major"/>
      </rPr>
      <t xml:space="preserve">th,CHP,w,Pint,lower,BOL </t>
    </r>
  </si>
  <si>
    <r>
      <t>ƞ</t>
    </r>
    <r>
      <rPr>
        <vertAlign val="subscript"/>
        <sz val="11"/>
        <color theme="1"/>
        <rFont val="Calibri"/>
        <family val="2"/>
        <scheme val="major"/>
      </rPr>
      <t xml:space="preserve">th,CHP,w,Pint,lower,BOL </t>
    </r>
  </si>
  <si>
    <r>
      <t>P</t>
    </r>
    <r>
      <rPr>
        <vertAlign val="subscript"/>
        <sz val="11"/>
        <color theme="1"/>
        <rFont val="Calibri"/>
        <family val="2"/>
        <scheme val="major"/>
      </rPr>
      <t>el,CHP,Pint,lower,BOL</t>
    </r>
  </si>
  <si>
    <r>
      <t>ƞ</t>
    </r>
    <r>
      <rPr>
        <vertAlign val="subscript"/>
        <sz val="11"/>
        <color theme="1"/>
        <rFont val="Calibri"/>
        <family val="2"/>
        <scheme val="major"/>
      </rPr>
      <t xml:space="preserve">el,CHP,w,Pint,lower,BOL </t>
    </r>
  </si>
  <si>
    <r>
      <t>Ƞ</t>
    </r>
    <r>
      <rPr>
        <vertAlign val="subscript"/>
        <sz val="11"/>
        <color theme="1"/>
        <rFont val="Calibri"/>
        <family val="2"/>
        <scheme val="major"/>
      </rPr>
      <t>el,CHP</t>
    </r>
    <r>
      <rPr>
        <sz val="11"/>
        <color theme="1"/>
        <rFont val="Calibri"/>
        <family val="2"/>
        <scheme val="major"/>
      </rPr>
      <t xml:space="preserve"> </t>
    </r>
  </si>
  <si>
    <r>
      <t>P</t>
    </r>
    <r>
      <rPr>
        <vertAlign val="subscript"/>
        <sz val="11"/>
        <color theme="1"/>
        <rFont val="Calibri"/>
        <family val="2"/>
        <scheme val="major"/>
      </rPr>
      <t xml:space="preserve">el,CHP </t>
    </r>
  </si>
  <si>
    <r>
      <t>Ƞ</t>
    </r>
    <r>
      <rPr>
        <vertAlign val="subscript"/>
        <sz val="11"/>
        <color theme="1"/>
        <rFont val="Calibri"/>
        <family val="2"/>
        <scheme val="major"/>
      </rPr>
      <t>th,CHP</t>
    </r>
    <r>
      <rPr>
        <sz val="11"/>
        <color theme="1"/>
        <rFont val="Calibri"/>
        <family val="2"/>
        <scheme val="major"/>
      </rPr>
      <t xml:space="preserve"> </t>
    </r>
  </si>
  <si>
    <r>
      <t>f</t>
    </r>
    <r>
      <rPr>
        <vertAlign val="subscript"/>
        <sz val="11"/>
        <color theme="1"/>
        <rFont val="Calibri"/>
        <family val="2"/>
        <scheme val="major"/>
      </rPr>
      <t>1</t>
    </r>
  </si>
  <si>
    <r>
      <t>d</t>
    </r>
    <r>
      <rPr>
        <vertAlign val="subscript"/>
        <sz val="11"/>
        <color theme="1"/>
        <rFont val="Calibri"/>
        <family val="2"/>
        <scheme val="major"/>
      </rPr>
      <t>CHP</t>
    </r>
    <r>
      <rPr>
        <sz val="11"/>
        <color theme="1"/>
        <rFont val="Calibri"/>
        <family val="2"/>
        <scheme val="major"/>
      </rPr>
      <t>/24</t>
    </r>
  </si>
  <si>
    <r>
      <t>d</t>
    </r>
    <r>
      <rPr>
        <vertAlign val="subscript"/>
        <sz val="11"/>
        <color theme="1"/>
        <rFont val="Calibri"/>
        <family val="2"/>
        <scheme val="major"/>
      </rPr>
      <t>CHP</t>
    </r>
    <r>
      <rPr>
        <sz val="11"/>
        <color theme="1"/>
        <rFont val="Calibri"/>
        <family val="2"/>
        <scheme val="major"/>
      </rPr>
      <t xml:space="preserve"> – maximal mögliche kontinuierliche Betriebszeit der Brennstoffzelle innerhalb 24 Stunden, in h</t>
    </r>
  </si>
  <si>
    <r>
      <t>Ƞ</t>
    </r>
    <r>
      <rPr>
        <vertAlign val="subscript"/>
        <sz val="11"/>
        <color theme="1"/>
        <rFont val="Calibri"/>
        <family val="2"/>
        <scheme val="major"/>
      </rPr>
      <t>th,CHP,w</t>
    </r>
    <r>
      <rPr>
        <sz val="11"/>
        <color theme="1"/>
        <rFont val="Calibri"/>
        <family val="2"/>
        <scheme val="major"/>
      </rPr>
      <t xml:space="preserve"> </t>
    </r>
  </si>
  <si>
    <r>
      <t>f</t>
    </r>
    <r>
      <rPr>
        <vertAlign val="subscript"/>
        <sz val="11"/>
        <color theme="1"/>
        <rFont val="Calibri"/>
        <family val="2"/>
        <scheme val="major"/>
      </rPr>
      <t>2</t>
    </r>
  </si>
  <si>
    <r>
      <t>·</t>
    </r>
    <r>
      <rPr>
        <sz val="7"/>
        <color theme="1"/>
        <rFont val="Calibri"/>
        <family val="2"/>
        <scheme val="major"/>
      </rPr>
      <t xml:space="preserve">                    </t>
    </r>
    <r>
      <rPr>
        <sz val="11"/>
        <color theme="1"/>
        <rFont val="Calibri"/>
        <family val="2"/>
        <scheme val="major"/>
      </rPr>
      <t>spezifisches Volumen des Pufferspeichers bezogen auf die thermische Leistung der Brennstoffzelle            V</t>
    </r>
    <r>
      <rPr>
        <vertAlign val="subscript"/>
        <sz val="11"/>
        <color theme="1"/>
        <rFont val="Calibri"/>
        <family val="2"/>
        <scheme val="major"/>
      </rPr>
      <t>PS</t>
    </r>
    <r>
      <rPr>
        <sz val="11"/>
        <color theme="1"/>
        <rFont val="Calibri"/>
        <family val="2"/>
        <scheme val="major"/>
      </rPr>
      <t>/P</t>
    </r>
    <r>
      <rPr>
        <vertAlign val="subscript"/>
        <sz val="11"/>
        <color theme="1"/>
        <rFont val="Calibri"/>
        <family val="2"/>
        <scheme val="major"/>
      </rPr>
      <t>th,CHP</t>
    </r>
    <r>
      <rPr>
        <sz val="11"/>
        <color theme="1"/>
        <rFont val="Calibri"/>
        <family val="2"/>
        <scheme val="major"/>
      </rPr>
      <t xml:space="preserve"> ≤150 l/kW</t>
    </r>
  </si>
  <si>
    <r>
      <t>P</t>
    </r>
    <r>
      <rPr>
        <vertAlign val="subscript"/>
        <sz val="11"/>
        <color theme="1"/>
        <rFont val="Calibri"/>
        <family val="2"/>
        <scheme val="major"/>
      </rPr>
      <t>th,CHP,w,Pint,lower,BOL</t>
    </r>
  </si>
  <si>
    <r>
      <t>P</t>
    </r>
    <r>
      <rPr>
        <vertAlign val="subscript"/>
        <sz val="11"/>
        <color theme="1"/>
        <rFont val="Calibri"/>
        <family val="2"/>
        <scheme val="major"/>
      </rPr>
      <t>th,CHP</t>
    </r>
    <r>
      <rPr>
        <sz val="11"/>
        <color theme="1"/>
        <rFont val="Calibri"/>
        <family val="2"/>
        <scheme val="major"/>
      </rPr>
      <t xml:space="preserve"> </t>
    </r>
  </si>
  <si>
    <r>
      <t>·</t>
    </r>
    <r>
      <rPr>
        <sz val="7"/>
        <color theme="1"/>
        <rFont val="Calibri"/>
        <family val="2"/>
        <scheme val="major"/>
      </rPr>
      <t xml:space="preserve">                    </t>
    </r>
    <r>
      <rPr>
        <sz val="11"/>
        <color theme="1"/>
        <rFont val="Calibri"/>
        <family val="2"/>
        <scheme val="major"/>
      </rPr>
      <t>mittlere Leistung für Warmwasser Q</t>
    </r>
    <r>
      <rPr>
        <vertAlign val="subscript"/>
        <sz val="11"/>
        <color theme="1"/>
        <rFont val="Calibri"/>
        <family val="2"/>
        <scheme val="major"/>
      </rPr>
      <t>w,outg,a</t>
    </r>
    <r>
      <rPr>
        <sz val="11"/>
        <color theme="1"/>
        <rFont val="Calibri"/>
        <family val="2"/>
        <scheme val="major"/>
      </rPr>
      <t>/8760≥ 0,3*P</t>
    </r>
    <r>
      <rPr>
        <vertAlign val="subscript"/>
        <sz val="11"/>
        <color theme="1"/>
        <rFont val="Calibri"/>
        <family val="2"/>
        <scheme val="major"/>
      </rPr>
      <t xml:space="preserve">th,CHP </t>
    </r>
  </si>
  <si>
    <r>
      <t>P</t>
    </r>
    <r>
      <rPr>
        <vertAlign val="subscript"/>
        <sz val="11"/>
        <color theme="1"/>
        <rFont val="Calibri"/>
        <family val="2"/>
        <scheme val="major"/>
      </rPr>
      <t>th,CHP,w</t>
    </r>
  </si>
  <si>
    <r>
      <t>·</t>
    </r>
    <r>
      <rPr>
        <sz val="7"/>
        <color theme="1"/>
        <rFont val="Calibri"/>
        <family val="2"/>
        <scheme val="major"/>
      </rPr>
      <t xml:space="preserve">                    </t>
    </r>
    <r>
      <rPr>
        <sz val="11"/>
        <color theme="1"/>
        <rFont val="Calibri"/>
        <family val="2"/>
        <scheme val="major"/>
      </rPr>
      <t>spezifischer Volumen des Pufferspeichers bezogen auf die thermische Leistung der Brennstoffzelle            V</t>
    </r>
    <r>
      <rPr>
        <vertAlign val="subscript"/>
        <sz val="11"/>
        <color theme="1"/>
        <rFont val="Calibri"/>
        <family val="2"/>
        <scheme val="major"/>
      </rPr>
      <t>PS</t>
    </r>
    <r>
      <rPr>
        <sz val="11"/>
        <color theme="1"/>
        <rFont val="Calibri"/>
        <family val="2"/>
        <scheme val="major"/>
      </rPr>
      <t>/P</t>
    </r>
    <r>
      <rPr>
        <vertAlign val="subscript"/>
        <sz val="11"/>
        <color theme="1"/>
        <rFont val="Calibri"/>
        <family val="2"/>
        <scheme val="major"/>
      </rPr>
      <t>th,CHP</t>
    </r>
    <r>
      <rPr>
        <sz val="11"/>
        <color theme="1"/>
        <rFont val="Calibri"/>
        <family val="2"/>
        <scheme val="major"/>
      </rPr>
      <t xml:space="preserve"> ≤150 l/kW</t>
    </r>
  </si>
  <si>
    <r>
      <t>·</t>
    </r>
    <r>
      <rPr>
        <sz val="7"/>
        <color theme="1"/>
        <rFont val="Calibri"/>
        <family val="2"/>
        <scheme val="major"/>
      </rPr>
      <t xml:space="preserve">                    </t>
    </r>
    <r>
      <rPr>
        <sz val="11"/>
        <color theme="1"/>
        <rFont val="Calibri"/>
        <family val="2"/>
        <scheme val="major"/>
      </rPr>
      <t>mittlere Leistung für Warmwasser Q</t>
    </r>
    <r>
      <rPr>
        <vertAlign val="subscript"/>
        <sz val="11"/>
        <color theme="1"/>
        <rFont val="Calibri"/>
        <family val="2"/>
        <scheme val="major"/>
      </rPr>
      <t>w,outg,a</t>
    </r>
    <r>
      <rPr>
        <sz val="11"/>
        <color theme="1"/>
        <rFont val="Calibri"/>
        <family val="2"/>
        <scheme val="major"/>
      </rPr>
      <t>/8760&lt; 0,3*P</t>
    </r>
    <r>
      <rPr>
        <vertAlign val="subscript"/>
        <sz val="11"/>
        <color theme="1"/>
        <rFont val="Calibri"/>
        <family val="2"/>
        <scheme val="major"/>
      </rPr>
      <t xml:space="preserve">th,CHP </t>
    </r>
  </si>
  <si>
    <r>
      <t>P</t>
    </r>
    <r>
      <rPr>
        <vertAlign val="subscript"/>
        <sz val="11"/>
        <color theme="1"/>
        <rFont val="Calibri"/>
        <family val="2"/>
        <scheme val="major"/>
      </rPr>
      <t xml:space="preserve">th,CHP </t>
    </r>
  </si>
  <si>
    <r>
      <t>x</t>
    </r>
    <r>
      <rPr>
        <vertAlign val="subscript"/>
        <sz val="11"/>
        <color theme="1"/>
        <rFont val="Calibri"/>
        <family val="2"/>
        <scheme val="major"/>
      </rPr>
      <t>mod,BOL</t>
    </r>
  </si>
  <si>
    <r>
      <t>f</t>
    </r>
    <r>
      <rPr>
        <vertAlign val="subscript"/>
        <sz val="11"/>
        <color theme="1"/>
        <rFont val="Calibri"/>
        <family val="2"/>
        <scheme val="major"/>
      </rPr>
      <t>mod</t>
    </r>
  </si>
  <si>
    <r>
      <t>P</t>
    </r>
    <r>
      <rPr>
        <vertAlign val="subscript"/>
        <sz val="11"/>
        <color theme="1"/>
        <rFont val="Calibri"/>
        <family val="2"/>
        <scheme val="major"/>
      </rPr>
      <t>el,CHP,w,int,lower</t>
    </r>
  </si>
  <si>
    <r>
      <t>Q</t>
    </r>
    <r>
      <rPr>
        <vertAlign val="subscript"/>
        <sz val="11"/>
        <color theme="1"/>
        <rFont val="Calibri"/>
        <family val="2"/>
        <scheme val="major"/>
      </rPr>
      <t xml:space="preserve">f,prod,CHP,a </t>
    </r>
  </si>
  <si>
    <r>
      <t>P</t>
    </r>
    <r>
      <rPr>
        <vertAlign val="subscript"/>
        <sz val="11"/>
        <color theme="1"/>
        <rFont val="Calibri"/>
        <family val="2"/>
        <scheme val="major"/>
      </rPr>
      <t>th,CHP,w,int,lower</t>
    </r>
  </si>
  <si>
    <r>
      <t>Q</t>
    </r>
    <r>
      <rPr>
        <vertAlign val="subscript"/>
        <sz val="11"/>
        <color theme="1"/>
        <rFont val="Calibri"/>
        <family val="2"/>
        <scheme val="major"/>
      </rPr>
      <t xml:space="preserve">f,CHP,Hi,a </t>
    </r>
  </si>
  <si>
    <r>
      <t>f</t>
    </r>
    <r>
      <rPr>
        <vertAlign val="subscript"/>
        <sz val="14"/>
        <color theme="1"/>
        <rFont val="Calibri"/>
        <family val="2"/>
        <scheme val="major"/>
      </rPr>
      <t>p</t>
    </r>
  </si>
  <si>
    <r>
      <t>P</t>
    </r>
    <r>
      <rPr>
        <b/>
        <vertAlign val="subscript"/>
        <sz val="11"/>
        <color theme="1"/>
        <rFont val="Calibri"/>
        <family val="2"/>
        <scheme val="major"/>
      </rPr>
      <t>th,CHP,w</t>
    </r>
    <r>
      <rPr>
        <b/>
        <sz val="11"/>
        <color theme="1"/>
        <rFont val="Calibri"/>
        <family val="2"/>
        <scheme val="major"/>
      </rPr>
      <t>≤0,7*P</t>
    </r>
    <r>
      <rPr>
        <b/>
        <vertAlign val="subscript"/>
        <sz val="11"/>
        <color theme="1"/>
        <rFont val="Calibri"/>
        <family val="2"/>
        <scheme val="major"/>
      </rPr>
      <t>th,CHP</t>
    </r>
  </si>
  <si>
    <r>
      <t>x</t>
    </r>
    <r>
      <rPr>
        <vertAlign val="subscript"/>
        <sz val="11"/>
        <color theme="1"/>
        <rFont val="Calibri"/>
        <family val="2"/>
        <scheme val="major"/>
      </rPr>
      <t>mod,op</t>
    </r>
  </si>
  <si>
    <r>
      <t>P</t>
    </r>
    <r>
      <rPr>
        <b/>
        <vertAlign val="subscript"/>
        <sz val="11"/>
        <color theme="1"/>
        <rFont val="Calibri"/>
        <family val="2"/>
        <scheme val="major"/>
      </rPr>
      <t>th,CHP,w</t>
    </r>
    <r>
      <rPr>
        <b/>
        <sz val="11"/>
        <color theme="1"/>
        <rFont val="Calibri"/>
        <family val="2"/>
        <scheme val="major"/>
      </rPr>
      <t>&gt;0,7*P</t>
    </r>
    <r>
      <rPr>
        <b/>
        <vertAlign val="subscript"/>
        <sz val="11"/>
        <color theme="1"/>
        <rFont val="Calibri"/>
        <family val="2"/>
        <scheme val="major"/>
      </rPr>
      <t>th,CHP</t>
    </r>
  </si>
  <si>
    <r>
      <t>P</t>
    </r>
    <r>
      <rPr>
        <vertAlign val="subscript"/>
        <sz val="11"/>
        <color theme="1"/>
        <rFont val="Calibri"/>
        <family val="2"/>
        <scheme val="major"/>
      </rPr>
      <t>el,CHP,Pint,op</t>
    </r>
    <r>
      <rPr>
        <sz val="11"/>
        <color theme="1"/>
        <rFont val="Calibri"/>
        <family val="2"/>
        <scheme val="major"/>
      </rPr>
      <t xml:space="preserve"> </t>
    </r>
  </si>
  <si>
    <r>
      <t>(θ</t>
    </r>
    <r>
      <rPr>
        <b/>
        <vertAlign val="subscript"/>
        <sz val="11"/>
        <color theme="1"/>
        <rFont val="Calibri"/>
        <family val="2"/>
        <scheme val="major"/>
      </rPr>
      <t>RA</t>
    </r>
    <r>
      <rPr>
        <b/>
        <sz val="11"/>
        <color theme="1"/>
        <rFont val="Calibri"/>
        <family val="2"/>
        <scheme val="major"/>
      </rPr>
      <t>-θ</t>
    </r>
    <r>
      <rPr>
        <b/>
        <vertAlign val="subscript"/>
        <sz val="11"/>
        <color theme="1"/>
        <rFont val="Calibri"/>
        <family val="2"/>
        <scheme val="major"/>
      </rPr>
      <t>Grenz</t>
    </r>
    <r>
      <rPr>
        <b/>
        <sz val="11"/>
        <color theme="1"/>
        <rFont val="Calibri"/>
        <family val="2"/>
        <scheme val="major"/>
      </rPr>
      <t>)</t>
    </r>
  </si>
  <si>
    <r>
      <t>Q</t>
    </r>
    <r>
      <rPr>
        <vertAlign val="subscript"/>
        <sz val="11"/>
        <color theme="1"/>
        <rFont val="Calibri"/>
        <family val="2"/>
        <scheme val="major"/>
      </rPr>
      <t xml:space="preserve">outg,CHP,a </t>
    </r>
  </si>
  <si>
    <r>
      <t>P</t>
    </r>
    <r>
      <rPr>
        <vertAlign val="subscript"/>
        <sz val="11"/>
        <color theme="1"/>
        <rFont val="Calibri"/>
        <family val="2"/>
        <scheme val="major"/>
      </rPr>
      <t xml:space="preserve">th,CHP,m </t>
    </r>
  </si>
  <si>
    <r>
      <t>Ƞ</t>
    </r>
    <r>
      <rPr>
        <vertAlign val="subscript"/>
        <sz val="11"/>
        <color theme="1"/>
        <rFont val="Calibri"/>
        <family val="2"/>
        <scheme val="major"/>
      </rPr>
      <t>th,CHP,m</t>
    </r>
    <r>
      <rPr>
        <sz val="11"/>
        <color theme="1"/>
        <rFont val="Calibri"/>
        <family val="2"/>
        <scheme val="major"/>
      </rPr>
      <t xml:space="preserve"> </t>
    </r>
  </si>
  <si>
    <r>
      <t>n</t>
    </r>
    <r>
      <rPr>
        <vertAlign val="subscript"/>
        <sz val="11"/>
        <color theme="1"/>
        <rFont val="Calibri"/>
        <family val="2"/>
        <scheme val="major"/>
      </rPr>
      <t>Start</t>
    </r>
  </si>
  <si>
    <r>
      <t>η</t>
    </r>
    <r>
      <rPr>
        <vertAlign val="subscript"/>
        <sz val="11"/>
        <color theme="1"/>
        <rFont val="Calibri"/>
        <family val="2"/>
        <scheme val="major"/>
      </rPr>
      <t>HN</t>
    </r>
  </si>
  <si>
    <r>
      <t>Q</t>
    </r>
    <r>
      <rPr>
        <vertAlign val="subscript"/>
        <sz val="11"/>
        <color theme="1"/>
        <rFont val="Calibri"/>
        <family val="2"/>
        <scheme val="major"/>
      </rPr>
      <t>f,a</t>
    </r>
  </si>
  <si>
    <r>
      <t>η</t>
    </r>
    <r>
      <rPr>
        <vertAlign val="subscript"/>
        <sz val="11"/>
        <color theme="1"/>
        <rFont val="Calibri"/>
        <family val="2"/>
        <scheme val="major"/>
      </rPr>
      <t>HP</t>
    </r>
  </si>
  <si>
    <t>fp=0 muss angezeigt werden</t>
  </si>
  <si>
    <t>Überprüfen für dauerbetrieb ohne Modulation</t>
  </si>
  <si>
    <t>Richtig</t>
  </si>
  <si>
    <t>Gesamtjahreswärmebedarf min</t>
  </si>
  <si>
    <t>Gesamtjahreswärmebedarf max</t>
  </si>
  <si>
    <r>
      <t>ɳ</t>
    </r>
    <r>
      <rPr>
        <vertAlign val="subscript"/>
        <sz val="11"/>
        <color theme="1"/>
        <rFont val="Calibri"/>
        <family val="2"/>
      </rPr>
      <t>HP</t>
    </r>
  </si>
  <si>
    <t>Nutzungsgrad, gesamt</t>
  </si>
  <si>
    <r>
      <t>e</t>
    </r>
    <r>
      <rPr>
        <vertAlign val="subscript"/>
        <sz val="11"/>
        <color theme="1"/>
        <rFont val="Constantia"/>
        <family val="2"/>
        <scheme val="minor"/>
      </rPr>
      <t>H,g</t>
    </r>
  </si>
  <si>
    <t>Aufwandszahl</t>
  </si>
  <si>
    <r>
      <t>f</t>
    </r>
    <r>
      <rPr>
        <vertAlign val="subscript"/>
        <sz val="11"/>
        <color theme="1"/>
        <rFont val="Constantia"/>
        <family val="2"/>
        <scheme val="minor"/>
      </rPr>
      <t>ϕ</t>
    </r>
  </si>
  <si>
    <t>Belastungsfaktor</t>
  </si>
  <si>
    <r>
      <t>ɳ</t>
    </r>
    <r>
      <rPr>
        <vertAlign val="subscript"/>
        <sz val="11"/>
        <color theme="1"/>
        <rFont val="Calibri"/>
        <family val="2"/>
      </rPr>
      <t>K</t>
    </r>
  </si>
  <si>
    <t>Kesselwirkungsgrad</t>
  </si>
  <si>
    <r>
      <t>f</t>
    </r>
    <r>
      <rPr>
        <vertAlign val="subscript"/>
        <sz val="11"/>
        <color theme="1"/>
        <rFont val="Constantia"/>
        <family val="2"/>
        <scheme val="minor"/>
      </rPr>
      <t>c</t>
    </r>
  </si>
  <si>
    <t>Wärmeverlustfaktor, Innenaufstellung</t>
  </si>
  <si>
    <r>
      <t xml:space="preserve">q </t>
    </r>
    <r>
      <rPr>
        <vertAlign val="subscript"/>
        <sz val="11"/>
        <color theme="1"/>
        <rFont val="Calibri"/>
        <family val="2"/>
      </rPr>
      <t>B,</t>
    </r>
    <r>
      <rPr>
        <vertAlign val="subscript"/>
        <sz val="11"/>
        <color theme="1"/>
        <rFont val="Symbol"/>
        <family val="1"/>
        <charset val="2"/>
      </rPr>
      <t>J</t>
    </r>
  </si>
  <si>
    <t>Bereitschaftswärmeverlust des Kessels bei mittleren Kesseltemperatur</t>
  </si>
  <si>
    <r>
      <t xml:space="preserve">q </t>
    </r>
    <r>
      <rPr>
        <vertAlign val="subscript"/>
        <sz val="11"/>
        <color theme="1"/>
        <rFont val="Calibri"/>
        <family val="2"/>
      </rPr>
      <t>B,70</t>
    </r>
  </si>
  <si>
    <t>Bereitschaftswärmeverlust des Kessels bei 70°C</t>
  </si>
  <si>
    <r>
      <t>ϕ</t>
    </r>
    <r>
      <rPr>
        <vertAlign val="subscript"/>
        <sz val="11"/>
        <color theme="1"/>
        <rFont val="Calibri"/>
        <family val="2"/>
      </rPr>
      <t>H</t>
    </r>
  </si>
  <si>
    <t>Belastungsgrad des Kessels, genau</t>
  </si>
  <si>
    <r>
      <t>e</t>
    </r>
    <r>
      <rPr>
        <vertAlign val="subscript"/>
        <sz val="11"/>
        <color theme="1"/>
        <rFont val="Constantia"/>
        <family val="2"/>
        <scheme val="minor"/>
      </rPr>
      <t>TW,g</t>
    </r>
  </si>
  <si>
    <r>
      <t>ϑ</t>
    </r>
    <r>
      <rPr>
        <vertAlign val="subscript"/>
        <sz val="11"/>
        <color theme="1"/>
        <rFont val="Calibri"/>
        <family val="2"/>
      </rPr>
      <t>K,m</t>
    </r>
  </si>
  <si>
    <t xml:space="preserve">Mittlere kesseltemperatur </t>
  </si>
  <si>
    <r>
      <t>ϕ</t>
    </r>
    <r>
      <rPr>
        <vertAlign val="subscript"/>
        <sz val="11"/>
        <color theme="1"/>
        <rFont val="Calibri"/>
        <family val="2"/>
      </rPr>
      <t>TW</t>
    </r>
  </si>
  <si>
    <t>Anteil TWW an gesamt</t>
  </si>
  <si>
    <t>(aus Berechnungsblatt)</t>
  </si>
  <si>
    <t>Qw,outg,a</t>
  </si>
  <si>
    <t>Erzeugernutzwärmeabgabe TWE</t>
  </si>
  <si>
    <t>Qoutg,a</t>
  </si>
  <si>
    <t>Erzeugernutzwärmeabgabe gesamt</t>
  </si>
  <si>
    <t>Heizenergiebedarf, WW</t>
  </si>
  <si>
    <t>Heizenergiebedarf, Heizung</t>
  </si>
  <si>
    <t>(aus Berechnungsblatt qh)</t>
  </si>
  <si>
    <t>Heizwärmebedarf, näherungsweise</t>
  </si>
  <si>
    <t>Ƙ</t>
  </si>
  <si>
    <t>Deckungsanteil BZ</t>
  </si>
  <si>
    <r>
      <t>ϑ</t>
    </r>
    <r>
      <rPr>
        <vertAlign val="subscript"/>
        <sz val="11"/>
        <color theme="1"/>
        <rFont val="Calibri"/>
        <family val="2"/>
      </rPr>
      <t>RA</t>
    </r>
  </si>
  <si>
    <t>Rücklauftemperatur im Auslegungsfall</t>
  </si>
  <si>
    <t>(fest, im Berechnungsblatt)</t>
  </si>
  <si>
    <r>
      <t>ϑ</t>
    </r>
    <r>
      <rPr>
        <vertAlign val="subscript"/>
        <sz val="11"/>
        <color theme="1"/>
        <rFont val="Calibri"/>
        <family val="2"/>
      </rPr>
      <t>30%</t>
    </r>
  </si>
  <si>
    <t>mittlere Rücklauftemperatur bei der Messung von  ɳ30%</t>
  </si>
  <si>
    <r>
      <rPr>
        <sz val="11"/>
        <color theme="1"/>
        <rFont val="Calibri"/>
        <family val="2"/>
      </rPr>
      <t>ϕ</t>
    </r>
    <r>
      <rPr>
        <vertAlign val="subscript"/>
        <sz val="11"/>
        <color theme="1"/>
        <rFont val="Calibri"/>
        <family val="2"/>
      </rPr>
      <t>HP</t>
    </r>
  </si>
  <si>
    <t>mittlere Heizkreisbelastung</t>
  </si>
  <si>
    <r>
      <t>ϑ</t>
    </r>
    <r>
      <rPr>
        <vertAlign val="subscript"/>
        <sz val="11"/>
        <color theme="1"/>
        <rFont val="Calibri"/>
        <family val="2"/>
      </rPr>
      <t>u,m</t>
    </r>
  </si>
  <si>
    <t>durchschnittliche Umgebungstemperatur</t>
  </si>
  <si>
    <t>Fußbodenheizung</t>
  </si>
  <si>
    <t xml:space="preserve">Mittlere Rücklauftemperatur bei Radiatoren </t>
  </si>
  <si>
    <t>Radiatoren</t>
  </si>
  <si>
    <t>35/28</t>
  </si>
  <si>
    <t>40/30</t>
  </si>
  <si>
    <t>45/35</t>
  </si>
  <si>
    <t>50/40</t>
  </si>
  <si>
    <t>55/45</t>
  </si>
  <si>
    <t>70/55</t>
  </si>
  <si>
    <t>Kd/a</t>
  </si>
  <si>
    <t>Systemtemperaturen</t>
  </si>
  <si>
    <t>Randbedingungen</t>
  </si>
  <si>
    <t>Ermittlung von Heizkreis- und Wärmeerzeugertemperaturen</t>
  </si>
  <si>
    <t>Im Berechnungsblatt</t>
  </si>
  <si>
    <t>Fehlermeldung: wenn die abgeschätze Gebäudeheizlast größer als die Nennleistung des Spitzenlastwärmeerzeugers</t>
  </si>
  <si>
    <r>
      <t>ɳ</t>
    </r>
    <r>
      <rPr>
        <vertAlign val="subscript"/>
        <sz val="11"/>
        <color theme="1"/>
        <rFont val="Calibri"/>
        <family val="2"/>
      </rPr>
      <t>30%</t>
    </r>
  </si>
  <si>
    <t>30%-Teillastwirkungsgrad</t>
  </si>
  <si>
    <t>QGB</t>
  </si>
  <si>
    <t>abgeschätze Heizleistung</t>
  </si>
  <si>
    <r>
      <t>ɳ</t>
    </r>
    <r>
      <rPr>
        <vertAlign val="subscript"/>
        <sz val="11"/>
        <color theme="1"/>
        <rFont val="Calibri"/>
        <family val="2"/>
      </rPr>
      <t>100%</t>
    </r>
  </si>
  <si>
    <t>100%-Lastwirkungsgrad</t>
  </si>
  <si>
    <t>qGB</t>
  </si>
  <si>
    <t>Gebäudeheizleistung</t>
  </si>
  <si>
    <r>
      <t>P</t>
    </r>
    <r>
      <rPr>
        <vertAlign val="subscript"/>
        <sz val="11"/>
        <color theme="1"/>
        <rFont val="Constantia"/>
        <family val="2"/>
        <scheme val="minor"/>
      </rPr>
      <t>n,HP</t>
    </r>
  </si>
  <si>
    <t>Nennwärmeleistung Spitzenlastwärmeerzeuger</t>
  </si>
  <si>
    <t>Produktspezifische Kennnwerte des Spitzenlastwärmeerzeugers (zur Anzeige auf dem Deckblatt)</t>
  </si>
  <si>
    <t>Gesamtjahreswärmebedarf</t>
  </si>
  <si>
    <t>min</t>
  </si>
  <si>
    <t>max</t>
  </si>
  <si>
    <r>
      <t>Q</t>
    </r>
    <r>
      <rPr>
        <vertAlign val="subscript"/>
        <sz val="11"/>
        <color theme="1"/>
        <rFont val="Calibri"/>
        <family val="2"/>
        <scheme val="major"/>
      </rPr>
      <t>outg,a,min</t>
    </r>
  </si>
  <si>
    <r>
      <t>Q</t>
    </r>
    <r>
      <rPr>
        <vertAlign val="subscript"/>
        <sz val="11"/>
        <color theme="1"/>
        <rFont val="Calibri"/>
        <family val="2"/>
        <scheme val="major"/>
      </rPr>
      <t>outg,a,max</t>
    </r>
  </si>
  <si>
    <t>Elektrischer Netto-Wirkungsgrad, 
heizwertbezogen</t>
  </si>
  <si>
    <t>Manuelle Eingabe</t>
  </si>
  <si>
    <t>Energetische Bewertung von Brennstoffzellen nach DIN SPEC 32737</t>
  </si>
  <si>
    <t>Planungswert berechnen:</t>
  </si>
  <si>
    <t>Bereitschaftswärmeverlust des 
Kessels bei 70°C</t>
  </si>
  <si>
    <r>
      <t>P</t>
    </r>
    <r>
      <rPr>
        <vertAlign val="subscript"/>
        <sz val="10"/>
        <color theme="4" tint="0.79998168889431442"/>
        <rFont val="Arial Narrow"/>
        <family val="2"/>
      </rPr>
      <t>n,HP</t>
    </r>
  </si>
  <si>
    <r>
      <t>ɳ</t>
    </r>
    <r>
      <rPr>
        <vertAlign val="subscript"/>
        <sz val="10"/>
        <color theme="4" tint="0.79998168889431442"/>
        <rFont val="Arial Narrow"/>
        <family val="2"/>
      </rPr>
      <t>100%</t>
    </r>
  </si>
  <si>
    <r>
      <t>ɳ</t>
    </r>
    <r>
      <rPr>
        <vertAlign val="subscript"/>
        <sz val="10"/>
        <color theme="4" tint="0.79998168889431442"/>
        <rFont val="Arial Narrow"/>
        <family val="2"/>
      </rPr>
      <t>30%</t>
    </r>
  </si>
  <si>
    <r>
      <t xml:space="preserve">q </t>
    </r>
    <r>
      <rPr>
        <vertAlign val="subscript"/>
        <sz val="10"/>
        <color theme="4" tint="0.79998168889431442"/>
        <rFont val="Arial Narrow"/>
        <family val="2"/>
      </rPr>
      <t>B,70</t>
    </r>
  </si>
  <si>
    <r>
      <t>η</t>
    </r>
    <r>
      <rPr>
        <vertAlign val="subscript"/>
        <sz val="10"/>
        <color theme="4" tint="0.79998168889431442"/>
        <rFont val="Arial"/>
        <family val="2"/>
      </rPr>
      <t>HP</t>
    </r>
  </si>
  <si>
    <t>Die Qualität der Ergebnisse ist von der Güte der Eingabewerte abhängig, der Nutzer ist für diese (bis auf die hinterlegten Brennstoffzellen-Kennwerte) selbst verantwortlich.</t>
  </si>
  <si>
    <t>(1) Gebäude</t>
  </si>
  <si>
    <t>(2) Brennstoffzelle</t>
  </si>
  <si>
    <t>(3) Spitzenlastwärmeerzeuger</t>
  </si>
  <si>
    <r>
      <t>P</t>
    </r>
    <r>
      <rPr>
        <vertAlign val="subscript"/>
        <sz val="10"/>
        <color theme="4" tint="0.79998168889431442"/>
        <rFont val="Arial"/>
        <family val="2"/>
      </rPr>
      <t>th,CHP,w,Pint,lower,BOL</t>
    </r>
  </si>
  <si>
    <r>
      <rPr>
        <sz val="10"/>
        <color theme="4" tint="0.79998168889431442"/>
        <rFont val="Arial"/>
        <family val="2"/>
      </rPr>
      <t>ƞ</t>
    </r>
    <r>
      <rPr>
        <vertAlign val="subscript"/>
        <sz val="10"/>
        <color theme="4" tint="0.79998168889431442"/>
        <rFont val="Arial"/>
        <family val="2"/>
      </rPr>
      <t>th,CHP,w,Pint,lower,BOL</t>
    </r>
  </si>
  <si>
    <r>
      <rPr>
        <sz val="10"/>
        <color theme="4" tint="0.79998168889431442"/>
        <rFont val="Arial"/>
        <family val="2"/>
      </rPr>
      <t>P</t>
    </r>
    <r>
      <rPr>
        <vertAlign val="subscript"/>
        <sz val="10"/>
        <color theme="4" tint="0.79998168889431442"/>
        <rFont val="Arial"/>
        <family val="2"/>
      </rPr>
      <t>el,CHP,Pint,lower,BOL</t>
    </r>
  </si>
  <si>
    <t>Brennstoffzellentyp</t>
  </si>
  <si>
    <t>Viessmann: Vitovalor 300-P (C3TA-19)</t>
  </si>
  <si>
    <t>Hexis: Galileo 1000 N</t>
  </si>
  <si>
    <t>Anmerkung: Da es sich um vereinfachte Berechnungen beruhend auf den Vorgaben der EnEV 2014 handelt, kann für die prognostizierten Werte nicht garantiert werden.</t>
  </si>
  <si>
    <t xml:space="preserve">ja </t>
  </si>
  <si>
    <t>Elcore</t>
  </si>
  <si>
    <t>Anlagendaten</t>
  </si>
  <si>
    <t>Vaillant: Vaillant G5 - 0,8 kW</t>
  </si>
  <si>
    <t>Vaillant: Vaillant G5 - 1,0 kW</t>
  </si>
  <si>
    <t>Vaillant G5 - 0,8 kW</t>
  </si>
  <si>
    <t>Vaillant G5 - 1,0 kW</t>
  </si>
  <si>
    <r>
      <rPr>
        <vertAlign val="superscript"/>
        <sz val="10"/>
        <color theme="1"/>
        <rFont val="Calibri"/>
        <family val="2"/>
      </rPr>
      <t>•</t>
    </r>
    <r>
      <rPr>
        <sz val="10"/>
        <color theme="1"/>
        <rFont val="Arial"/>
        <family val="2"/>
      </rPr>
      <t xml:space="preserve"> die Gebäudenutzfläche A</t>
    </r>
    <r>
      <rPr>
        <vertAlign val="subscript"/>
        <sz val="10"/>
        <color theme="1"/>
        <rFont val="Arial"/>
        <family val="2"/>
      </rPr>
      <t>N</t>
    </r>
    <r>
      <rPr>
        <sz val="10"/>
        <color theme="1"/>
        <rFont val="Arial"/>
        <family val="2"/>
      </rPr>
      <t xml:space="preserve"> - Bezugsfläche nach EnEV bei Wohngebäuden und wird  wie folgt ermittelt: A</t>
    </r>
    <r>
      <rPr>
        <vertAlign val="subscript"/>
        <sz val="10"/>
        <color theme="1"/>
        <rFont val="Arial"/>
        <family val="2"/>
      </rPr>
      <t>N</t>
    </r>
    <r>
      <rPr>
        <sz val="10"/>
        <color theme="1"/>
        <rFont val="Arial"/>
        <family val="2"/>
      </rPr>
      <t>=0,32*V</t>
    </r>
    <r>
      <rPr>
        <vertAlign val="subscript"/>
        <sz val="10"/>
        <color theme="1"/>
        <rFont val="Arial"/>
        <family val="2"/>
      </rPr>
      <t>e</t>
    </r>
    <r>
      <rPr>
        <sz val="10"/>
        <color theme="1"/>
        <rFont val="Arial"/>
        <family val="2"/>
      </rPr>
      <t>. Dabei ist A</t>
    </r>
    <r>
      <rPr>
        <vertAlign val="subscript"/>
        <sz val="10"/>
        <color theme="1"/>
        <rFont val="Arial"/>
        <family val="2"/>
      </rPr>
      <t>N</t>
    </r>
    <r>
      <rPr>
        <sz val="10"/>
        <color theme="1"/>
        <rFont val="Arial"/>
        <family val="2"/>
      </rPr>
      <t xml:space="preserve"> die Gebäudenutzfläche in m², V</t>
    </r>
    <r>
      <rPr>
        <vertAlign val="subscript"/>
        <sz val="10"/>
        <color theme="1"/>
        <rFont val="Arial"/>
        <family val="2"/>
      </rPr>
      <t>e</t>
    </r>
    <r>
      <rPr>
        <sz val="10"/>
        <color theme="1"/>
        <rFont val="Arial"/>
        <family val="2"/>
      </rPr>
      <t xml:space="preserve"> beheiztes Gebäudevolumen in m³</t>
    </r>
  </si>
  <si>
    <t>• Brennstoffzellen-Kennwerte (thermische und elektrische Leistung, Wirkungsgrade sowie Angaben zum Modulationsbereich),</t>
  </si>
  <si>
    <t>•  Brennstoffbedarf, erzeugte Wärmemenge, Netto-Stromerzeugung</t>
  </si>
  <si>
    <t>• Primärenergiefaktor im Sinne der EnEV</t>
  </si>
  <si>
    <t>• Rücklauftemperatur des Heiznetzes im Auslegungszustand</t>
  </si>
  <si>
    <t>Nutzungsgrad Spitzenlastwärme-
erzeuger, heizwertbezogen</t>
  </si>
  <si>
    <t>Nutzungssgrad Spitzenlastwärme-
erzeuger, heizwertbezogen</t>
  </si>
  <si>
    <t>Eigenstromverbrauch für einen 
Start/Stopp-Vorgang, in [kWh]</t>
  </si>
  <si>
    <t>Thermische Leistung im Warmwasserbetrieb, in [kW]</t>
  </si>
  <si>
    <t>Elektrische Leistung, in [kW]</t>
  </si>
  <si>
    <t>Gesamtwirkungsgrad der Brenn-,
stoffzelle, heizwertbezogen</t>
  </si>
  <si>
    <t>Maximale Betriebszeit 
innerhalb von 24h, in [h]</t>
  </si>
  <si>
    <t>Maximale zulässige Betriebs-
temperatur, in [°C]</t>
  </si>
  <si>
    <t>Minimale thermische Leistung 
als Abschaltkriterium, in [kW]</t>
  </si>
  <si>
    <t>Wärmespeichervolumen, in [l]</t>
  </si>
  <si>
    <r>
      <t xml:space="preserve">Thermische Leistung bei </t>
    </r>
    <r>
      <rPr>
        <sz val="10"/>
        <color theme="1"/>
        <rFont val="Calibri"/>
        <family val="2"/>
      </rPr>
      <t>θ</t>
    </r>
    <r>
      <rPr>
        <vertAlign val="subscript"/>
        <sz val="9"/>
        <color theme="1"/>
        <rFont val="Arial Narrow"/>
        <family val="2"/>
      </rPr>
      <t>RL</t>
    </r>
    <r>
      <rPr>
        <sz val="9"/>
        <color theme="1"/>
        <rFont val="Arial Narrow"/>
        <family val="2"/>
      </rPr>
      <t>=</t>
    </r>
    <r>
      <rPr>
        <sz val="10"/>
        <color theme="1"/>
        <rFont val="Arial Narrow"/>
        <family val="2"/>
      </rPr>
      <t>30°C über Nutzungsdauer gemittelt, in [kW]</t>
    </r>
  </si>
  <si>
    <t>Brennstoffbedarf der Brennstoffzelle, heizwertbezogen, in [kWh/a]</t>
  </si>
  <si>
    <t>Gesamtbrennstoffbedarf der Wärmeerzeugungsanlage, heizwertbezogen, in [kWh/a]</t>
  </si>
  <si>
    <r>
      <t>Q</t>
    </r>
    <r>
      <rPr>
        <vertAlign val="subscript"/>
        <sz val="10"/>
        <color theme="1"/>
        <rFont val="Arial Narrow"/>
        <family val="2"/>
      </rPr>
      <t xml:space="preserve">f,Hi,CHP,a </t>
    </r>
  </si>
  <si>
    <t>Von der Wärmeerzeugunganlage bereitgestellte Wärme, in [kWh/a]</t>
  </si>
  <si>
    <r>
      <t>Q</t>
    </r>
    <r>
      <rPr>
        <vertAlign val="subscript"/>
        <sz val="10"/>
        <color theme="1"/>
        <rFont val="Arial Narrow"/>
        <family val="2"/>
      </rPr>
      <t xml:space="preserve">f,Hi,CHP+HP,a </t>
    </r>
  </si>
  <si>
    <t>Primärenergiefaktor für die von der Wärmeerzeugungsanlage bereitgestellte Wärme</t>
  </si>
  <si>
    <t>Auslegungsrücklauftemperatur des 
Heiznetzes, in [°C]</t>
  </si>
  <si>
    <t>Nennwärmeleistung 
Spitzenlastwärmeerzeuger, in [kW]</t>
  </si>
  <si>
    <r>
      <t>Q</t>
    </r>
    <r>
      <rPr>
        <b/>
        <vertAlign val="subscript"/>
        <sz val="10"/>
        <color theme="1"/>
        <rFont val="Arial Narrow"/>
        <family val="2"/>
      </rPr>
      <t>f,a</t>
    </r>
  </si>
  <si>
    <r>
      <t xml:space="preserve"> f</t>
    </r>
    <r>
      <rPr>
        <b/>
        <vertAlign val="subscript"/>
        <sz val="10"/>
        <color theme="1"/>
        <rFont val="Arial Narrow"/>
        <family val="2"/>
      </rPr>
      <t>P</t>
    </r>
  </si>
  <si>
    <t>Eingabewerte aus</t>
  </si>
  <si>
    <t>DIN V 18599</t>
  </si>
  <si>
    <t>Hinweise zur energetischen Bewertung im Rahmen der Energieeinsparverordnung</t>
  </si>
  <si>
    <t>Nach Anlage 1 Abschnitt 2.1.1 zur EnEV 2014 ist für eine zum Gebäude gehörige Anlage mit Kraft-Wärme-Kopplung wie folgt vorzugehen:</t>
  </si>
  <si>
    <r>
      <t xml:space="preserve"> • für die von der Wärmeerzeugungsanlage, bestehend aus einer KWK-Einheit und einem Spitzenlastwärmeerzeuger, bereitgestellte Wärme wird ein Primärenergiefaktor f</t>
    </r>
    <r>
      <rPr>
        <vertAlign val="subscript"/>
        <sz val="10"/>
        <color theme="1"/>
        <rFont val="Arial"/>
        <family val="2"/>
      </rPr>
      <t>p</t>
    </r>
    <r>
      <rPr>
        <sz val="10"/>
        <color theme="1"/>
        <rFont val="Arial"/>
        <family val="2"/>
      </rPr>
      <t xml:space="preserve"> berechnet.</t>
    </r>
  </si>
  <si>
    <r>
      <rPr>
        <vertAlign val="superscript"/>
        <sz val="10"/>
        <color theme="1"/>
        <rFont val="Calibri"/>
        <family val="2"/>
      </rPr>
      <t>•</t>
    </r>
    <r>
      <rPr>
        <sz val="10"/>
        <color theme="1"/>
        <rFont val="Arial"/>
        <family val="2"/>
      </rPr>
      <t xml:space="preserve"> Bei der Berechnung des Primärenergiefaktors f</t>
    </r>
    <r>
      <rPr>
        <vertAlign val="subscript"/>
        <sz val="10"/>
        <color theme="1"/>
        <rFont val="Arial"/>
        <family val="2"/>
      </rPr>
      <t>P</t>
    </r>
    <r>
      <rPr>
        <sz val="10"/>
        <color theme="1"/>
        <rFont val="Arial"/>
        <family val="2"/>
      </rPr>
      <t xml:space="preserve"> für die von der Wärmeerzeugungs-anlage bereitgestellte Wärme wird der primärenergetische Aufwand beider Wärmeerzeuger bilanziert und die primärenergetische Gutschrift für den durch die KWK-Einheit erzeugten Strom berücksichtigt.</t>
    </r>
  </si>
  <si>
    <r>
      <t>• Entsprechend EnEV 2014 wird der durch Anlagen mit Kraft-Wärme-Kopplung erzeugte und nach Abzug des Eigenbedarfs in das Verbundnetz eingespeiste Strom mit dem Primärenergiefaktor für Verdrängungsstrommix f</t>
    </r>
    <r>
      <rPr>
        <vertAlign val="subscript"/>
        <sz val="10"/>
        <color theme="1"/>
        <rFont val="Arial"/>
        <family val="2"/>
      </rPr>
      <t>p,Strom</t>
    </r>
    <r>
      <rPr>
        <sz val="10"/>
        <color theme="1"/>
        <rFont val="Arial"/>
        <family val="2"/>
      </rPr>
      <t>=2,8 gutgeschrieben.</t>
    </r>
  </si>
  <si>
    <t>Allgemeine Hinweise zur KWK-Bewertung</t>
  </si>
  <si>
    <t>Hinweise zur EnEV-Bewertung für Brennstoffzellen/Brennstoffzellen-Heizgeräte</t>
  </si>
  <si>
    <t>Für eine EnEV-konforme Bewertung ist eine besondere Sorgfalt bei der Bestimmung der Eingangsgrößen geboten. Der Anwender greift auf die Berechnungsergebnisse der EnEV-Norm (entweder DIN V 4701-10 oder DIN V 18599) zurück.</t>
  </si>
  <si>
    <t>Vorgehensweise</t>
  </si>
  <si>
    <t>1) Bitte wählen Sie, mit welcher EnEV-Norm Sie den EnEV-Nachweis führen wollen.</t>
  </si>
  <si>
    <t>Gebäudenutzfläche, in [m²]</t>
  </si>
  <si>
    <t>3) Weitere Berechnungen mit dem vorliegenden Berechnungstool für Brennstoffzellen</t>
  </si>
  <si>
    <t>3) Weitere Berechnungen mit der ursprünglichen EnEV-Software bzw. "per Hand"</t>
  </si>
  <si>
    <t xml:space="preserve"> • Eingabe der Gebäudedaten</t>
  </si>
  <si>
    <t xml:space="preserve"> • Wahl der Brennstoffzelle</t>
  </si>
  <si>
    <t xml:space="preserve"> • Wahl des Spitzenlastwärmeerzeugers</t>
  </si>
  <si>
    <t xml:space="preserve"> • Berechnung des Primärenergiefaktors</t>
  </si>
  <si>
    <t xml:space="preserve"> • Auf der Heizungs- und Trinkwarmwasserseite ist jeweils ein Wärmeerzeuger (monovalent) auszuwählen.</t>
  </si>
  <si>
    <t xml:space="preserve"> • Berechnung des Jahres-Primärenergiebedarfes des Gebäudes</t>
  </si>
  <si>
    <t>WENN(G17=L15;M15;WENN(G17=L16;M16;WENN(G17=L17;M17;WENN(G17=L18;M18;WENN(G17=L22;M22;WENN(G17=L23;M23;WENN(G17=L24;M24;WENN(G17=L25;M25;WENN(G17=L26;M26;WENN(G17=L27;M27; WENN(G17=L28;M28;"-")))))))))))</t>
  </si>
  <si>
    <t>WENN(F17=R13;R14;WENN(F17=S13;S14;WENN(F17=T13;T14;WENN(F17=U13;U14;WENN(F17=Y13;Y14;WENN(F17=Z13;Z14;WENN(F17=AA13;AA14;WENN(F17=AB13;AB14;WENN(F17=AE13;AE14;WENN(F17=AC13;AC14;WENN(F17=AD13;AD14;"-")))))))))))</t>
  </si>
  <si>
    <t>WENN(F17=R13;R20;WENN(F17=S13;S20;WENN(F17=T13;T20;WENN(F17=U13;U20;WENN(F17=Y13;Y20;WENN(F17=Z13;Z20;WENN(F17=AA13;AA20;WENN(F17=AB13;AB20;WENN(F17=AE13;AE20;WENN(F17=AC13;AC20;WENN(F17=AD13;AD20;"-")))))))))))</t>
  </si>
  <si>
    <t>Fehler 1</t>
  </si>
  <si>
    <t>Fehler 2</t>
  </si>
  <si>
    <t>Mögliche Fehler</t>
  </si>
  <si>
    <r>
      <rPr>
        <sz val="10"/>
        <color theme="4" tint="0.79998168889431442"/>
        <rFont val="Arial"/>
        <family val="2"/>
      </rPr>
      <t>ƞ</t>
    </r>
    <r>
      <rPr>
        <vertAlign val="subscript"/>
        <sz val="10"/>
        <color theme="4" tint="0.79998168889431442"/>
        <rFont val="Arial"/>
        <family val="2"/>
      </rPr>
      <t>el,CHP,Pint,lower,BOL</t>
    </r>
  </si>
  <si>
    <t>Überprüfung der Kennwerte</t>
  </si>
  <si>
    <t>Elektrischer Netto-Wirkungsgrad 
bei unterer Modulationsgrenze, heizwertbezogen</t>
  </si>
  <si>
    <t>Untere Modulationsgrenze, in [kW]</t>
  </si>
  <si>
    <t>Elektrische Leistung bei unterer 
Modulationsgrenze, in [kW]</t>
  </si>
  <si>
    <t>Netto-Stromproduktion der Brennstoffzelle, in [kWh/a]</t>
  </si>
  <si>
    <t xml:space="preserve"> • Wärmeenergiebedarf Heizung und Trinkwarmwasser bei Berechnung mit DIN V 4108-6/DIN V 4701-10 bzw. Erzeugernutzwärmeabgabe an das Heiznetz und für Trinkwarmwasser bei Berechnung mit DIN V 18599 </t>
  </si>
  <si>
    <t>• spezifische Eigenschaften der Brennstoffzellen wie Rücklauftemperaturabhängigkeit, Betriebsunterbrechungen etc.</t>
  </si>
  <si>
    <t>SOLIDpower: BlueGEN</t>
  </si>
  <si>
    <t>BlueGEN</t>
  </si>
  <si>
    <t>SenerTec: Dachs InnoGen</t>
  </si>
  <si>
    <t>Dachs InnoGen</t>
  </si>
  <si>
    <t>DIN V 4701-10 / DIN V 4108-6</t>
  </si>
  <si>
    <t>Bosch: Buderus Logapower FC10.2</t>
  </si>
  <si>
    <t>Buderus Logapower FC10.2</t>
  </si>
  <si>
    <t>Junkers Cerapower FC 10-2</t>
  </si>
  <si>
    <t>Bosch: Junkers Cerapower FC 10-2</t>
  </si>
  <si>
    <r>
      <t>P</t>
    </r>
    <r>
      <rPr>
        <vertAlign val="subscript"/>
        <sz val="11"/>
        <color theme="1"/>
        <rFont val="Calibri"/>
        <family val="2"/>
        <scheme val="major"/>
      </rPr>
      <t>n,HP</t>
    </r>
  </si>
  <si>
    <r>
      <t>ɳ</t>
    </r>
    <r>
      <rPr>
        <vertAlign val="subscript"/>
        <sz val="11"/>
        <color theme="1"/>
        <rFont val="Calibri"/>
        <family val="2"/>
        <scheme val="major"/>
      </rPr>
      <t>100%</t>
    </r>
  </si>
  <si>
    <r>
      <t>ɳ</t>
    </r>
    <r>
      <rPr>
        <vertAlign val="subscript"/>
        <sz val="11"/>
        <color theme="1"/>
        <rFont val="Calibri"/>
        <family val="2"/>
        <scheme val="major"/>
      </rPr>
      <t>30%</t>
    </r>
  </si>
  <si>
    <r>
      <t xml:space="preserve">q </t>
    </r>
    <r>
      <rPr>
        <vertAlign val="subscript"/>
        <sz val="11"/>
        <color theme="1"/>
        <rFont val="Calibri"/>
        <family val="2"/>
        <scheme val="major"/>
      </rPr>
      <t>B,70</t>
    </r>
  </si>
  <si>
    <r>
      <t>G</t>
    </r>
    <r>
      <rPr>
        <vertAlign val="subscript"/>
        <sz val="11"/>
        <color theme="1"/>
        <rFont val="Calibri"/>
        <family val="2"/>
        <scheme val="major"/>
      </rPr>
      <t>t 19/10</t>
    </r>
  </si>
  <si>
    <r>
      <t>ϑ</t>
    </r>
    <r>
      <rPr>
        <vertAlign val="subscript"/>
        <sz val="11"/>
        <color theme="1"/>
        <rFont val="Calibri"/>
        <family val="2"/>
        <scheme val="major"/>
      </rPr>
      <t>VL,max</t>
    </r>
  </si>
  <si>
    <r>
      <t>ϑ</t>
    </r>
    <r>
      <rPr>
        <vertAlign val="subscript"/>
        <sz val="11"/>
        <color theme="1"/>
        <rFont val="Calibri"/>
        <family val="2"/>
        <scheme val="major"/>
      </rPr>
      <t>RL,max</t>
    </r>
  </si>
  <si>
    <r>
      <t>t</t>
    </r>
    <r>
      <rPr>
        <vertAlign val="subscript"/>
        <sz val="11"/>
        <color theme="1"/>
        <rFont val="Calibri"/>
        <family val="2"/>
        <scheme val="major"/>
      </rPr>
      <t>HP</t>
    </r>
  </si>
  <si>
    <r>
      <t>ϑ</t>
    </r>
    <r>
      <rPr>
        <vertAlign val="subscript"/>
        <sz val="11"/>
        <color theme="1"/>
        <rFont val="Calibri"/>
        <family val="2"/>
        <scheme val="major"/>
      </rPr>
      <t>u,min</t>
    </r>
  </si>
  <si>
    <r>
      <t>ϑ</t>
    </r>
    <r>
      <rPr>
        <vertAlign val="subscript"/>
        <sz val="11"/>
        <color theme="1"/>
        <rFont val="Calibri"/>
        <family val="2"/>
        <scheme val="major"/>
      </rPr>
      <t>HG</t>
    </r>
  </si>
  <si>
    <r>
      <t>ϑ</t>
    </r>
    <r>
      <rPr>
        <vertAlign val="subscript"/>
        <sz val="11"/>
        <color theme="1"/>
        <rFont val="Calibri"/>
        <family val="2"/>
        <scheme val="major"/>
      </rPr>
      <t>i,m</t>
    </r>
  </si>
  <si>
    <r>
      <t>ϑ</t>
    </r>
    <r>
      <rPr>
        <vertAlign val="subscript"/>
        <sz val="11"/>
        <color theme="1"/>
        <rFont val="Calibri"/>
        <family val="2"/>
        <scheme val="major"/>
      </rPr>
      <t>u</t>
    </r>
  </si>
  <si>
    <r>
      <t>ϑ</t>
    </r>
    <r>
      <rPr>
        <vertAlign val="subscript"/>
        <sz val="11"/>
        <color theme="1"/>
        <rFont val="Calibri"/>
        <family val="2"/>
        <scheme val="major"/>
      </rPr>
      <t>i,Norm</t>
    </r>
  </si>
  <si>
    <r>
      <t>ϑ</t>
    </r>
    <r>
      <rPr>
        <vertAlign val="subscript"/>
        <sz val="11"/>
        <color theme="1"/>
        <rFont val="Calibri"/>
        <family val="2"/>
        <scheme val="major"/>
      </rPr>
      <t>RL,min</t>
    </r>
  </si>
  <si>
    <r>
      <t>ϑ</t>
    </r>
    <r>
      <rPr>
        <vertAlign val="subscript"/>
        <sz val="11"/>
        <color theme="1"/>
        <rFont val="Calibri"/>
        <family val="2"/>
        <scheme val="major"/>
      </rPr>
      <t>VL,min</t>
    </r>
  </si>
  <si>
    <t>Viessmann: Vitovalor 300-P (C3TB)</t>
  </si>
  <si>
    <t>Vitovalor 300-P (C3TB</t>
  </si>
  <si>
    <r>
      <t>f</t>
    </r>
    <r>
      <rPr>
        <vertAlign val="subscript"/>
        <sz val="12"/>
        <color theme="1"/>
        <rFont val="Calibri"/>
        <family val="2"/>
        <scheme val="major"/>
      </rPr>
      <t>p</t>
    </r>
    <r>
      <rPr>
        <sz val="12"/>
        <color theme="1"/>
        <rFont val="Calibri"/>
        <family val="2"/>
        <scheme val="major"/>
      </rPr>
      <t>*</t>
    </r>
  </si>
  <si>
    <t>Bitte wählen</t>
  </si>
  <si>
    <t>Bitte eintragen</t>
  </si>
  <si>
    <t>Version: 2016-02</t>
  </si>
  <si>
    <t>Mit Spitzenlastwärmeerzeugerdaten</t>
  </si>
  <si>
    <t>(1=ja;2=nein)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</si>
</sst>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 #,##0.00\ &quot;€&quot;_-;\-* #,##0.00\ &quot;€&quot;_-;_-* &quot;-&quot;??\ &quot;€&quot;_-;_-@_-"/>
    <numFmt numFmtId="43" formatCode="_-* #,##0.00\ _€_-;\-* #,##0.00\ _€_-;_-* &quot;-&quot;??\ _€_-;_-@_-"/>
    <numFmt numFmtId="164" formatCode="_(* #,##0.00_);_(* \(#,##0.00\);_(* &quot;-&quot;??_);_(@_)"/>
    <numFmt numFmtId="165" formatCode="_-* #,##0.0\ _€_-;\-* #,##0.0\ _€_-;_-* &quot;-&quot;??\ _€_-;_-@_-"/>
    <numFmt numFmtId="166" formatCode="_-* #,##0\ _€_-;\-* #,##0\ _€_-;_-* &quot;-&quot;??\ _€_-;_-@_-"/>
    <numFmt numFmtId="167" formatCode="_-* #,##0.000\ _€_-;\-* #,##0.000\ _€_-;_-* &quot;-&quot;??\ _€_-;_-@_-"/>
    <numFmt numFmtId="168" formatCode="0.0%"/>
    <numFmt numFmtId="169" formatCode="0.0000"/>
    <numFmt numFmtId="170" formatCode="_-* #,##0.000\ _€_-;\-* #,##0.000\ _€_-;_-* &quot;-&quot;???\ _€_-;_-@_-"/>
    <numFmt numFmtId="171" formatCode="00000"/>
    <numFmt numFmtId="172" formatCode="_(* #,##0.0_);_(* \(#,##0.0\);_(* &quot;-&quot;??_);_(@_)"/>
    <numFmt numFmtId="173" formatCode="_(* #,##0.000_);_(* \(#,##0.000\);_(* &quot;-&quot;??_);_(@_)"/>
    <numFmt numFmtId="174" formatCode="0.000"/>
    <numFmt numFmtId="175" formatCode="0.0"/>
    <numFmt numFmtId="176" formatCode="0.000%"/>
  </numFmts>
  <fonts count="86" x14ac:knownFonts="1">
    <font>
      <sz val="11"/>
      <color theme="1"/>
      <name val="Constantia"/>
      <family val="2"/>
      <scheme val="minor"/>
    </font>
    <font>
      <sz val="10"/>
      <color theme="1"/>
      <name val="Arial"/>
      <family val="2"/>
    </font>
    <font>
      <sz val="11"/>
      <color theme="1"/>
      <name val="Constantia"/>
      <family val="2"/>
      <scheme val="minor"/>
    </font>
    <font>
      <sz val="11"/>
      <color rgb="FF3F3F76"/>
      <name val="Constantia"/>
      <family val="2"/>
      <scheme val="minor"/>
    </font>
    <font>
      <b/>
      <sz val="11"/>
      <color rgb="FF3F3F3F"/>
      <name val="Constantia"/>
      <family val="2"/>
      <scheme val="minor"/>
    </font>
    <font>
      <b/>
      <sz val="11"/>
      <color theme="1"/>
      <name val="Constantia"/>
      <family val="2"/>
      <scheme val="minor"/>
    </font>
    <font>
      <sz val="11"/>
      <color theme="1"/>
      <name val="Arial"/>
      <family val="2"/>
    </font>
    <font>
      <b/>
      <sz val="11"/>
      <color theme="1"/>
      <name val="Arial"/>
      <family val="2"/>
    </font>
    <font>
      <sz val="11"/>
      <color rgb="FFFF0000"/>
      <name val="Arial"/>
      <family val="2"/>
    </font>
    <font>
      <b/>
      <sz val="24"/>
      <color theme="0"/>
      <name val="Arial"/>
      <family val="2"/>
    </font>
    <font>
      <sz val="11"/>
      <color rgb="FF9C0006"/>
      <name val="Constantia"/>
      <family val="2"/>
      <scheme val="minor"/>
    </font>
    <font>
      <b/>
      <u/>
      <sz val="12"/>
      <color theme="1"/>
      <name val="Arial"/>
      <family val="2"/>
    </font>
    <font>
      <vertAlign val="subscript"/>
      <sz val="10"/>
      <color theme="1"/>
      <name val="Arial"/>
      <family val="2"/>
    </font>
    <font>
      <sz val="10"/>
      <color theme="1"/>
      <name val="Arial"/>
      <family val="2"/>
    </font>
    <font>
      <b/>
      <sz val="10"/>
      <color theme="1"/>
      <name val="Arial"/>
      <family val="2"/>
    </font>
    <font>
      <i/>
      <sz val="10"/>
      <color theme="1"/>
      <name val="Arial"/>
      <family val="2"/>
    </font>
    <font>
      <i/>
      <vertAlign val="subscript"/>
      <sz val="10"/>
      <color theme="1"/>
      <name val="Arial"/>
      <family val="2"/>
    </font>
    <font>
      <sz val="10"/>
      <color rgb="FFFF0000"/>
      <name val="Arial"/>
      <family val="2"/>
    </font>
    <font>
      <b/>
      <sz val="10"/>
      <color rgb="FF3F3F3F"/>
      <name val="Arial"/>
      <family val="2"/>
    </font>
    <font>
      <b/>
      <sz val="11"/>
      <color rgb="FF3F3F3F"/>
      <name val="Arial"/>
      <family val="2"/>
    </font>
    <font>
      <b/>
      <sz val="11"/>
      <color rgb="FFC00000"/>
      <name val="Arial"/>
      <family val="2"/>
    </font>
    <font>
      <sz val="10"/>
      <color theme="4" tint="0.79998168889431442"/>
      <name val="Arial"/>
      <family val="2"/>
    </font>
    <font>
      <vertAlign val="subscript"/>
      <sz val="10"/>
      <color theme="4" tint="0.79998168889431442"/>
      <name val="Arial"/>
      <family val="2"/>
    </font>
    <font>
      <sz val="10"/>
      <color rgb="FF000000"/>
      <name val="Arial"/>
      <family val="2"/>
    </font>
    <font>
      <sz val="10"/>
      <color theme="1"/>
      <name val="Arial Narrow"/>
      <family val="2"/>
    </font>
    <font>
      <sz val="10"/>
      <color theme="4" tint="0.79998168889431442"/>
      <name val="Arial Narrow"/>
      <family val="2"/>
    </font>
    <font>
      <i/>
      <sz val="10"/>
      <color theme="1"/>
      <name val="Arial Narrow"/>
      <family val="2"/>
    </font>
    <font>
      <vertAlign val="subscript"/>
      <sz val="10"/>
      <color theme="1"/>
      <name val="Arial Narrow"/>
      <family val="2"/>
    </font>
    <font>
      <u/>
      <sz val="11"/>
      <color theme="10"/>
      <name val="Constantia"/>
      <family val="2"/>
      <scheme val="minor"/>
    </font>
    <font>
      <u/>
      <sz val="11"/>
      <color theme="10"/>
      <name val="Arial"/>
      <family val="2"/>
    </font>
    <font>
      <b/>
      <sz val="14"/>
      <color theme="1"/>
      <name val="Arial"/>
      <family val="2"/>
    </font>
    <font>
      <u/>
      <sz val="11"/>
      <color rgb="FFC00000"/>
      <name val="Arial"/>
      <family val="2"/>
    </font>
    <font>
      <b/>
      <sz val="24"/>
      <color theme="0"/>
      <name val="Calibri"/>
      <family val="2"/>
      <scheme val="major"/>
    </font>
    <font>
      <sz val="11"/>
      <color theme="0"/>
      <name val="Calibri"/>
      <family val="2"/>
      <scheme val="major"/>
    </font>
    <font>
      <sz val="11"/>
      <color theme="1"/>
      <name val="Calibri"/>
      <family val="2"/>
      <scheme val="major"/>
    </font>
    <font>
      <b/>
      <u/>
      <sz val="14"/>
      <color theme="1"/>
      <name val="Calibri"/>
      <family val="2"/>
      <scheme val="major"/>
    </font>
    <font>
      <b/>
      <sz val="11"/>
      <color theme="1"/>
      <name val="Calibri"/>
      <family val="2"/>
      <scheme val="major"/>
    </font>
    <font>
      <i/>
      <sz val="11"/>
      <color theme="1"/>
      <name val="Calibri"/>
      <family val="2"/>
      <scheme val="major"/>
    </font>
    <font>
      <sz val="11"/>
      <color rgb="FF3F3F76"/>
      <name val="Calibri"/>
      <family val="2"/>
      <scheme val="major"/>
    </font>
    <font>
      <b/>
      <sz val="11"/>
      <color rgb="FF3F3F3F"/>
      <name val="Calibri"/>
      <family val="2"/>
      <scheme val="major"/>
    </font>
    <font>
      <vertAlign val="subscript"/>
      <sz val="11"/>
      <color theme="1"/>
      <name val="Calibri"/>
      <family val="2"/>
      <scheme val="major"/>
    </font>
    <font>
      <sz val="11"/>
      <color rgb="FFFF0000"/>
      <name val="Calibri"/>
      <family val="2"/>
      <scheme val="major"/>
    </font>
    <font>
      <sz val="7"/>
      <color theme="1"/>
      <name val="Calibri"/>
      <family val="2"/>
      <scheme val="major"/>
    </font>
    <font>
      <sz val="11"/>
      <name val="Calibri"/>
      <family val="2"/>
      <scheme val="major"/>
    </font>
    <font>
      <b/>
      <sz val="11"/>
      <color rgb="FF000000"/>
      <name val="Calibri"/>
      <family val="2"/>
      <scheme val="major"/>
    </font>
    <font>
      <sz val="14"/>
      <color theme="1"/>
      <name val="Calibri"/>
      <family val="2"/>
      <scheme val="major"/>
    </font>
    <font>
      <vertAlign val="subscript"/>
      <sz val="14"/>
      <color theme="1"/>
      <name val="Calibri"/>
      <family val="2"/>
      <scheme val="major"/>
    </font>
    <font>
      <b/>
      <vertAlign val="subscript"/>
      <sz val="11"/>
      <color theme="1"/>
      <name val="Calibri"/>
      <family val="2"/>
      <scheme val="major"/>
    </font>
    <font>
      <sz val="11"/>
      <color rgb="FF000000"/>
      <name val="Calibri"/>
      <family val="2"/>
      <scheme val="major"/>
    </font>
    <font>
      <sz val="11"/>
      <color rgb="FF006100"/>
      <name val="Constantia"/>
      <family val="2"/>
      <scheme val="minor"/>
    </font>
    <font>
      <b/>
      <sz val="11"/>
      <color rgb="FFFA7D00"/>
      <name val="Constantia"/>
      <family val="2"/>
      <scheme val="minor"/>
    </font>
    <font>
      <sz val="10"/>
      <name val="Arial"/>
      <family val="2"/>
    </font>
    <font>
      <sz val="11"/>
      <color theme="1"/>
      <name val="Calibri"/>
      <family val="2"/>
    </font>
    <font>
      <vertAlign val="subscript"/>
      <sz val="11"/>
      <color theme="1"/>
      <name val="Calibri"/>
      <family val="2"/>
    </font>
    <font>
      <vertAlign val="subscript"/>
      <sz val="11"/>
      <color theme="1"/>
      <name val="Constantia"/>
      <family val="2"/>
      <scheme val="minor"/>
    </font>
    <font>
      <vertAlign val="subscript"/>
      <sz val="11"/>
      <color theme="1"/>
      <name val="Symbol"/>
      <family val="1"/>
      <charset val="2"/>
    </font>
    <font>
      <sz val="11"/>
      <color rgb="FFC00000"/>
      <name val="Calibri"/>
      <family val="2"/>
      <scheme val="major"/>
    </font>
    <font>
      <sz val="9.6999999999999993"/>
      <color theme="1"/>
      <name val="Arial Narrow"/>
      <family val="2"/>
    </font>
    <font>
      <sz val="9.5"/>
      <name val="Arial Narrow"/>
      <family val="2"/>
    </font>
    <font>
      <vertAlign val="subscript"/>
      <sz val="10"/>
      <color theme="4" tint="0.79998168889431442"/>
      <name val="Arial Narrow"/>
      <family val="2"/>
    </font>
    <font>
      <b/>
      <sz val="10"/>
      <color theme="0"/>
      <name val="Arial"/>
      <family val="2"/>
    </font>
    <font>
      <sz val="11"/>
      <color theme="4" tint="0.79998168889431442"/>
      <name val="Constantia"/>
      <family val="2"/>
      <scheme val="minor"/>
    </font>
    <font>
      <b/>
      <sz val="16"/>
      <color theme="0"/>
      <name val="Arial"/>
      <family val="2"/>
    </font>
    <font>
      <sz val="11"/>
      <color theme="4" tint="0.79998168889431442"/>
      <name val="Arial"/>
      <family val="2"/>
    </font>
    <font>
      <vertAlign val="superscript"/>
      <sz val="10"/>
      <color theme="1"/>
      <name val="Calibri"/>
      <family val="2"/>
    </font>
    <font>
      <sz val="9"/>
      <color indexed="81"/>
      <name val="Calibri"/>
      <family val="2"/>
      <scheme val="major"/>
    </font>
    <font>
      <sz val="10"/>
      <color theme="1"/>
      <name val="Calibri"/>
      <family val="2"/>
    </font>
    <font>
      <sz val="9"/>
      <color theme="1"/>
      <name val="Arial Narrow"/>
      <family val="2"/>
    </font>
    <font>
      <vertAlign val="subscript"/>
      <sz val="9"/>
      <color theme="1"/>
      <name val="Arial Narrow"/>
      <family val="2"/>
    </font>
    <font>
      <b/>
      <sz val="10"/>
      <color theme="1"/>
      <name val="Arial Narrow"/>
      <family val="2"/>
    </font>
    <font>
      <b/>
      <i/>
      <sz val="10"/>
      <color theme="1"/>
      <name val="Arial Narrow"/>
      <family val="2"/>
    </font>
    <font>
      <b/>
      <vertAlign val="subscript"/>
      <sz val="10"/>
      <color theme="1"/>
      <name val="Arial Narrow"/>
      <family val="2"/>
    </font>
    <font>
      <b/>
      <sz val="10"/>
      <color rgb="FFFF0000"/>
      <name val="Arial"/>
      <family val="2"/>
    </font>
    <font>
      <u/>
      <sz val="10"/>
      <color rgb="FFC00000"/>
      <name val="Arial"/>
      <family val="2"/>
    </font>
    <font>
      <b/>
      <u/>
      <sz val="11"/>
      <color theme="1"/>
      <name val="Arial"/>
      <family val="2"/>
    </font>
    <font>
      <b/>
      <sz val="11"/>
      <color rgb="FF9C0006"/>
      <name val="Arial Narrow"/>
      <family val="2"/>
    </font>
    <font>
      <b/>
      <sz val="11"/>
      <color rgb="FFC00000"/>
      <name val="Arial Narrow"/>
      <family val="2"/>
    </font>
    <font>
      <b/>
      <sz val="10"/>
      <color rgb="FFC00000"/>
      <name val="Arial Narrow"/>
      <family val="2"/>
    </font>
    <font>
      <sz val="11"/>
      <color rgb="FF006100"/>
      <name val="Calibri"/>
      <family val="2"/>
      <scheme val="major"/>
    </font>
    <font>
      <sz val="10"/>
      <name val="Calibri"/>
      <family val="2"/>
      <scheme val="major"/>
    </font>
    <font>
      <b/>
      <sz val="11"/>
      <color rgb="FFFA7D00"/>
      <name val="Calibri"/>
      <family val="2"/>
      <scheme val="major"/>
    </font>
    <font>
      <sz val="12"/>
      <color theme="1"/>
      <name val="Calibri"/>
      <family val="2"/>
      <scheme val="major"/>
    </font>
    <font>
      <vertAlign val="subscript"/>
      <sz val="12"/>
      <color theme="1"/>
      <name val="Calibri"/>
      <family val="2"/>
      <scheme val="major"/>
    </font>
    <font>
      <sz val="10"/>
      <color rgb="FFFF0000"/>
      <name val="Arial Narrow"/>
      <family val="2"/>
    </font>
    <font>
      <sz val="10"/>
      <color rgb="FF000000"/>
      <name val="Constantia"/>
      <family val="1"/>
    </font>
    <font>
      <sz val="11"/>
      <color rgb="FF000000"/>
      <name val="Constantia"/>
      <family val="1"/>
    </font>
  </fonts>
  <fills count="17">
    <fill>
      <patternFill patternType="none"/>
    </fill>
    <fill>
      <patternFill patternType="gray125"/>
    </fill>
    <fill>
      <patternFill patternType="solid">
        <fgColor rgb="FFFFCC99"/>
      </patternFill>
    </fill>
    <fill>
      <patternFill patternType="solid">
        <fgColor rgb="FFF2F2F2"/>
      </patternFill>
    </fill>
    <fill>
      <patternFill patternType="solid">
        <fgColor rgb="FFC6EFCE"/>
      </patternFill>
    </fill>
    <fill>
      <patternFill patternType="solid">
        <fgColor theme="3"/>
        <bgColor indexed="64"/>
      </patternFill>
    </fill>
    <fill>
      <patternFill patternType="solid">
        <fgColor rgb="FFFFC7CE"/>
      </patternFill>
    </fill>
    <fill>
      <patternFill patternType="solid">
        <fgColor theme="4" tint="0.59999389629810485"/>
        <bgColor indexed="64"/>
      </patternFill>
    </fill>
    <fill>
      <patternFill patternType="solid">
        <fgColor theme="4" tint="0.79998168889431442"/>
        <bgColor indexed="64"/>
      </patternFill>
    </fill>
    <fill>
      <patternFill patternType="solid">
        <fgColor rgb="FF4CB0EE"/>
        <bgColor indexed="64"/>
      </patternFill>
    </fill>
    <fill>
      <patternFill patternType="solid">
        <fgColor rgb="FF00206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rgb="FFDFEEFD"/>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ck">
        <color auto="1"/>
      </right>
      <top/>
      <bottom/>
      <diagonal/>
    </border>
    <border>
      <left style="thin">
        <color rgb="FF3F3F3F"/>
      </left>
      <right/>
      <top style="thin">
        <color rgb="FF3F3F3F"/>
      </top>
      <bottom style="thin">
        <color rgb="FF3F3F3F"/>
      </bottom>
      <diagonal/>
    </border>
    <border>
      <left style="medium">
        <color indexed="64"/>
      </left>
      <right/>
      <top/>
      <bottom/>
      <diagonal/>
    </border>
    <border>
      <left/>
      <right style="thick">
        <color auto="1"/>
      </right>
      <top/>
      <bottom style="medium">
        <color indexed="64"/>
      </bottom>
      <diagonal/>
    </border>
  </borders>
  <cellStyleXfs count="11">
    <xf numFmtId="0" fontId="0" fillId="0" borderId="0"/>
    <xf numFmtId="164" fontId="2" fillId="0" borderId="0" applyFont="0" applyFill="0" applyBorder="0" applyAlignment="0" applyProtection="0"/>
    <xf numFmtId="9" fontId="2" fillId="0" borderId="0" applyFont="0" applyFill="0" applyBorder="0" applyAlignment="0" applyProtection="0"/>
    <xf numFmtId="0" fontId="3" fillId="2" borderId="1" applyNumberFormat="0" applyAlignment="0" applyProtection="0"/>
    <xf numFmtId="0" fontId="4" fillId="3" borderId="2" applyNumberFormat="0" applyAlignment="0" applyProtection="0"/>
    <xf numFmtId="0" fontId="5" fillId="0" borderId="24" applyNumberFormat="0" applyFill="0" applyAlignment="0" applyProtection="0"/>
    <xf numFmtId="0" fontId="10" fillId="6" borderId="0" applyNumberFormat="0" applyBorder="0" applyAlignment="0" applyProtection="0"/>
    <xf numFmtId="0" fontId="28" fillId="0" borderId="0" applyNumberFormat="0" applyFill="0" applyBorder="0" applyAlignment="0" applyProtection="0"/>
    <xf numFmtId="0" fontId="49" fillId="4" borderId="0" applyNumberFormat="0" applyBorder="0" applyAlignment="0" applyProtection="0"/>
    <xf numFmtId="0" fontId="50" fillId="3" borderId="1" applyNumberFormat="0" applyAlignment="0" applyProtection="0"/>
    <xf numFmtId="0" fontId="51" fillId="0" borderId="0"/>
  </cellStyleXfs>
  <cellXfs count="338">
    <xf numFmtId="0" fontId="0" fillId="0" borderId="0" xfId="0"/>
    <xf numFmtId="0" fontId="6" fillId="8" borderId="0" xfId="0" applyFont="1" applyFill="1"/>
    <xf numFmtId="0" fontId="6" fillId="8" borderId="0" xfId="0" applyFont="1" applyFill="1" applyProtection="1"/>
    <xf numFmtId="0" fontId="6" fillId="8" borderId="0" xfId="0" applyFont="1" applyFill="1" applyBorder="1" applyProtection="1"/>
    <xf numFmtId="0" fontId="6" fillId="8" borderId="17" xfId="0" applyFont="1" applyFill="1" applyBorder="1" applyProtection="1"/>
    <xf numFmtId="0" fontId="20" fillId="8" borderId="0" xfId="6" applyFont="1" applyFill="1" applyBorder="1" applyAlignment="1" applyProtection="1">
      <alignment horizontal="left" vertical="center"/>
    </xf>
    <xf numFmtId="0" fontId="13" fillId="7" borderId="3" xfId="0" applyFont="1" applyFill="1" applyBorder="1" applyAlignment="1" applyProtection="1">
      <alignment vertical="center"/>
    </xf>
    <xf numFmtId="0" fontId="13" fillId="8" borderId="0" xfId="0" applyFont="1" applyFill="1" applyBorder="1" applyAlignment="1" applyProtection="1">
      <alignment vertical="center"/>
    </xf>
    <xf numFmtId="0" fontId="25" fillId="8" borderId="0" xfId="0" applyFont="1" applyFill="1" applyBorder="1" applyAlignment="1" applyProtection="1">
      <alignment horizontal="left" vertical="center" wrapText="1"/>
    </xf>
    <xf numFmtId="0" fontId="13" fillId="8" borderId="17" xfId="0" applyFont="1" applyFill="1" applyBorder="1" applyAlignment="1" applyProtection="1"/>
    <xf numFmtId="0" fontId="11" fillId="8" borderId="0" xfId="0" applyFont="1" applyFill="1" applyBorder="1" applyAlignment="1" applyProtection="1">
      <alignment horizontal="left"/>
    </xf>
    <xf numFmtId="0" fontId="8" fillId="8" borderId="0" xfId="0" applyFont="1" applyFill="1" applyBorder="1" applyProtection="1"/>
    <xf numFmtId="0" fontId="17" fillId="8" borderId="0" xfId="0" applyFont="1" applyFill="1" applyBorder="1" applyProtection="1"/>
    <xf numFmtId="0" fontId="26" fillId="7" borderId="3" xfId="0" applyFont="1" applyFill="1" applyBorder="1" applyAlignment="1" applyProtection="1">
      <alignment vertical="center"/>
    </xf>
    <xf numFmtId="0" fontId="6" fillId="8" borderId="0" xfId="0" applyFont="1" applyFill="1" applyAlignment="1"/>
    <xf numFmtId="0" fontId="7" fillId="8" borderId="0" xfId="0" applyFont="1" applyFill="1"/>
    <xf numFmtId="0" fontId="0" fillId="0" borderId="0" xfId="0" applyProtection="1"/>
    <xf numFmtId="0" fontId="31" fillId="8" borderId="0" xfId="7" applyFont="1" applyFill="1" applyProtection="1">
      <protection locked="0"/>
    </xf>
    <xf numFmtId="0" fontId="32" fillId="5" borderId="0" xfId="0" applyFont="1" applyFill="1" applyProtection="1"/>
    <xf numFmtId="0" fontId="33" fillId="5" borderId="0" xfId="0" applyFont="1" applyFill="1" applyAlignment="1" applyProtection="1">
      <alignment horizontal="right"/>
    </xf>
    <xf numFmtId="0" fontId="33" fillId="5" borderId="0" xfId="0" applyFont="1" applyFill="1" applyProtection="1"/>
    <xf numFmtId="0" fontId="33" fillId="5" borderId="0" xfId="0" applyFont="1" applyFill="1" applyAlignment="1" applyProtection="1">
      <alignment horizontal="left"/>
    </xf>
    <xf numFmtId="0" fontId="34" fillId="0" borderId="0" xfId="0" applyFont="1" applyProtection="1"/>
    <xf numFmtId="0" fontId="35" fillId="0" borderId="0" xfId="0" applyFont="1" applyProtection="1"/>
    <xf numFmtId="0" fontId="34" fillId="0" borderId="0" xfId="0" applyFont="1" applyAlignment="1" applyProtection="1">
      <alignment horizontal="right"/>
    </xf>
    <xf numFmtId="0" fontId="34" fillId="0" borderId="0" xfId="0" applyFont="1" applyAlignment="1" applyProtection="1">
      <alignment horizontal="left"/>
    </xf>
    <xf numFmtId="0" fontId="36" fillId="0" borderId="0" xfId="0" applyFont="1" applyProtection="1"/>
    <xf numFmtId="0" fontId="37" fillId="0" borderId="0" xfId="0" applyFont="1" applyProtection="1"/>
    <xf numFmtId="166" fontId="38" fillId="2" borderId="1" xfId="3" applyNumberFormat="1" applyFont="1" applyAlignment="1" applyProtection="1">
      <alignment horizontal="right"/>
    </xf>
    <xf numFmtId="165" fontId="39" fillId="3" borderId="2" xfId="4" applyNumberFormat="1" applyFont="1" applyAlignment="1" applyProtection="1">
      <alignment horizontal="right"/>
    </xf>
    <xf numFmtId="167" fontId="39" fillId="3" borderId="2" xfId="4" applyNumberFormat="1" applyFont="1" applyAlignment="1" applyProtection="1">
      <alignment horizontal="right"/>
    </xf>
    <xf numFmtId="166" fontId="39" fillId="3" borderId="2" xfId="4" applyNumberFormat="1" applyFont="1" applyAlignment="1" applyProtection="1">
      <alignment horizontal="right"/>
    </xf>
    <xf numFmtId="0" fontId="38" fillId="2" borderId="1" xfId="3" applyFont="1" applyAlignment="1" applyProtection="1">
      <alignment horizontal="right"/>
    </xf>
    <xf numFmtId="0" fontId="38" fillId="2" borderId="1" xfId="3" applyFont="1" applyProtection="1"/>
    <xf numFmtId="0" fontId="34" fillId="0" borderId="3" xfId="0" applyFont="1" applyBorder="1" applyProtection="1"/>
    <xf numFmtId="0" fontId="34" fillId="0" borderId="3" xfId="0" applyFont="1" applyBorder="1" applyAlignment="1" applyProtection="1">
      <alignment vertical="center" wrapText="1"/>
    </xf>
    <xf numFmtId="0" fontId="34" fillId="0" borderId="3" xfId="0" applyFont="1" applyBorder="1" applyAlignment="1" applyProtection="1">
      <alignment vertical="center"/>
    </xf>
    <xf numFmtId="0" fontId="41" fillId="0" borderId="0" xfId="0" applyFont="1" applyProtection="1"/>
    <xf numFmtId="0" fontId="34" fillId="0" borderId="3" xfId="0" applyFont="1" applyBorder="1" applyAlignment="1" applyProtection="1">
      <alignment horizontal="right" vertical="center"/>
    </xf>
    <xf numFmtId="0" fontId="38" fillId="2" borderId="1" xfId="3" applyFont="1" applyAlignment="1" applyProtection="1">
      <alignment horizontal="left"/>
    </xf>
    <xf numFmtId="0" fontId="38" fillId="2" borderId="1" xfId="3" applyNumberFormat="1" applyFont="1" applyAlignment="1" applyProtection="1">
      <alignment horizontal="right"/>
    </xf>
    <xf numFmtId="0" fontId="40" fillId="0" borderId="3" xfId="0" applyFont="1" applyBorder="1" applyProtection="1"/>
    <xf numFmtId="9" fontId="34" fillId="0" borderId="3" xfId="2" applyFont="1" applyBorder="1" applyAlignment="1" applyProtection="1">
      <alignment horizontal="right"/>
    </xf>
    <xf numFmtId="9" fontId="34" fillId="0" borderId="3" xfId="2" applyFont="1" applyBorder="1" applyProtection="1"/>
    <xf numFmtId="0" fontId="34" fillId="0" borderId="3" xfId="0" applyFont="1" applyBorder="1" applyAlignment="1" applyProtection="1">
      <alignment horizontal="right"/>
    </xf>
    <xf numFmtId="0" fontId="34" fillId="0" borderId="3" xfId="0" applyFont="1" applyBorder="1" applyAlignment="1" applyProtection="1">
      <alignment horizontal="justify" vertical="center"/>
    </xf>
    <xf numFmtId="9" fontId="34" fillId="0" borderId="3" xfId="2" applyFont="1" applyBorder="1" applyAlignment="1" applyProtection="1">
      <alignment horizontal="right" vertical="center"/>
    </xf>
    <xf numFmtId="0" fontId="40" fillId="0" borderId="0" xfId="0" applyFont="1" applyProtection="1"/>
    <xf numFmtId="168" fontId="38" fillId="2" borderId="1" xfId="3" applyNumberFormat="1" applyFont="1" applyAlignment="1" applyProtection="1">
      <alignment horizontal="right"/>
    </xf>
    <xf numFmtId="168" fontId="39" fillId="3" borderId="2" xfId="4" applyNumberFormat="1" applyFont="1" applyProtection="1"/>
    <xf numFmtId="0" fontId="36" fillId="0" borderId="10" xfId="0" applyFont="1" applyBorder="1" applyAlignment="1" applyProtection="1">
      <alignment horizontal="center" vertical="center" wrapText="1"/>
    </xf>
    <xf numFmtId="0" fontId="34" fillId="0" borderId="7" xfId="0" applyFont="1" applyBorder="1" applyAlignment="1" applyProtection="1">
      <alignment horizontal="justify" vertical="center" wrapText="1"/>
    </xf>
    <xf numFmtId="0" fontId="34" fillId="0" borderId="10" xfId="0" applyFont="1" applyBorder="1" applyAlignment="1" applyProtection="1">
      <alignment horizontal="center" vertical="center" wrapText="1"/>
    </xf>
    <xf numFmtId="0" fontId="41" fillId="0" borderId="7" xfId="0" applyFont="1" applyBorder="1" applyAlignment="1" applyProtection="1">
      <alignment horizontal="justify" vertical="center" wrapText="1"/>
    </xf>
    <xf numFmtId="2" fontId="34" fillId="0" borderId="10" xfId="2" applyNumberFormat="1" applyFont="1" applyBorder="1" applyAlignment="1" applyProtection="1">
      <alignment horizontal="center" vertical="center" wrapText="1"/>
    </xf>
    <xf numFmtId="0" fontId="39" fillId="3" borderId="2" xfId="4" applyFont="1" applyProtection="1"/>
    <xf numFmtId="0" fontId="34" fillId="0" borderId="3" xfId="0" applyFont="1" applyBorder="1" applyAlignment="1" applyProtection="1">
      <alignment horizontal="left" vertical="center" wrapText="1"/>
    </xf>
    <xf numFmtId="0" fontId="34" fillId="0" borderId="3" xfId="0" applyFont="1" applyBorder="1" applyAlignment="1" applyProtection="1">
      <alignment horizontal="center" vertical="center" wrapText="1"/>
    </xf>
    <xf numFmtId="0" fontId="34" fillId="0" borderId="0" xfId="0" applyFont="1" applyAlignment="1" applyProtection="1">
      <alignment horizontal="justify" vertical="center"/>
    </xf>
    <xf numFmtId="164" fontId="38" fillId="2" borderId="1" xfId="1" applyFont="1" applyFill="1" applyBorder="1" applyAlignment="1" applyProtection="1">
      <alignment horizontal="right"/>
    </xf>
    <xf numFmtId="167" fontId="39" fillId="3" borderId="2" xfId="4" applyNumberFormat="1" applyFont="1" applyAlignment="1" applyProtection="1">
      <alignment horizontal="right" indent="1"/>
    </xf>
    <xf numFmtId="9" fontId="38" fillId="2" borderId="1" xfId="3" applyNumberFormat="1" applyFont="1" applyAlignment="1" applyProtection="1">
      <alignment horizontal="right"/>
    </xf>
    <xf numFmtId="167" fontId="39" fillId="3" borderId="2" xfId="4" applyNumberFormat="1" applyFont="1" applyProtection="1"/>
    <xf numFmtId="0" fontId="34" fillId="0" borderId="0" xfId="0" applyFont="1" applyBorder="1" applyAlignment="1" applyProtection="1">
      <alignment horizontal="left" vertical="center" wrapText="1"/>
    </xf>
    <xf numFmtId="0" fontId="43" fillId="0" borderId="0" xfId="0" applyFont="1" applyProtection="1"/>
    <xf numFmtId="10" fontId="36" fillId="4" borderId="24" xfId="5" applyNumberFormat="1" applyFont="1" applyFill="1" applyProtection="1"/>
    <xf numFmtId="0" fontId="39" fillId="3" borderId="2" xfId="4" applyFont="1" applyAlignment="1" applyProtection="1">
      <alignment horizontal="right"/>
    </xf>
    <xf numFmtId="164" fontId="36" fillId="4" borderId="24" xfId="1" applyFont="1" applyFill="1" applyBorder="1" applyProtection="1"/>
    <xf numFmtId="166" fontId="39" fillId="3" borderId="2" xfId="4" applyNumberFormat="1" applyFont="1" applyAlignment="1" applyProtection="1">
      <alignment horizontal="center"/>
    </xf>
    <xf numFmtId="0" fontId="39" fillId="3" borderId="2" xfId="4" applyFont="1" applyAlignment="1" applyProtection="1">
      <alignment horizontal="center"/>
    </xf>
    <xf numFmtId="0" fontId="34" fillId="0" borderId="25" xfId="0" applyFont="1" applyBorder="1" applyAlignment="1" applyProtection="1">
      <alignment vertical="center"/>
    </xf>
    <xf numFmtId="0" fontId="44" fillId="0" borderId="8" xfId="0" applyFont="1" applyBorder="1" applyAlignment="1" applyProtection="1">
      <alignment horizontal="center" vertical="center"/>
    </xf>
    <xf numFmtId="0" fontId="44" fillId="0" borderId="8" xfId="0" applyFont="1" applyBorder="1" applyAlignment="1" applyProtection="1">
      <alignment horizontal="right" vertical="center"/>
    </xf>
    <xf numFmtId="0" fontId="45" fillId="0" borderId="0" xfId="0" applyFont="1" applyFill="1" applyProtection="1"/>
    <xf numFmtId="0" fontId="36" fillId="0" borderId="7" xfId="0" applyFont="1" applyBorder="1" applyAlignment="1" applyProtection="1">
      <alignment horizontal="left" vertical="center"/>
    </xf>
    <xf numFmtId="1" fontId="43" fillId="0" borderId="10" xfId="0" applyNumberFormat="1" applyFont="1" applyFill="1" applyBorder="1" applyAlignment="1" applyProtection="1">
      <alignment horizontal="center" vertical="center"/>
    </xf>
    <xf numFmtId="169" fontId="43" fillId="0" borderId="10" xfId="0" applyNumberFormat="1" applyFont="1" applyFill="1" applyBorder="1" applyAlignment="1" applyProtection="1">
      <alignment horizontal="center" vertical="center"/>
    </xf>
    <xf numFmtId="169" fontId="43" fillId="0" borderId="10" xfId="0" applyNumberFormat="1" applyFont="1" applyFill="1" applyBorder="1" applyAlignment="1" applyProtection="1">
      <alignment horizontal="right" vertical="center"/>
    </xf>
    <xf numFmtId="169" fontId="48" fillId="0" borderId="10" xfId="0" applyNumberFormat="1" applyFont="1" applyFill="1" applyBorder="1" applyAlignment="1" applyProtection="1">
      <alignment horizontal="center" vertical="center"/>
    </xf>
    <xf numFmtId="169" fontId="48" fillId="0" borderId="10" xfId="0" applyNumberFormat="1" applyFont="1" applyFill="1" applyBorder="1" applyAlignment="1" applyProtection="1">
      <alignment horizontal="right" vertical="center"/>
    </xf>
    <xf numFmtId="170" fontId="34" fillId="0" borderId="0" xfId="0" applyNumberFormat="1" applyFont="1" applyProtection="1"/>
    <xf numFmtId="0" fontId="36" fillId="0" borderId="7" xfId="0" applyFont="1" applyBorder="1" applyAlignment="1" applyProtection="1">
      <alignment horizontal="justify" vertical="center" wrapText="1"/>
    </xf>
    <xf numFmtId="10" fontId="39" fillId="3" borderId="2" xfId="4" applyNumberFormat="1" applyFont="1" applyProtection="1"/>
    <xf numFmtId="10" fontId="39" fillId="3" borderId="2" xfId="2" applyNumberFormat="1" applyFont="1" applyFill="1" applyBorder="1" applyProtection="1"/>
    <xf numFmtId="164" fontId="39" fillId="3" borderId="2" xfId="1" applyFont="1" applyFill="1" applyBorder="1" applyProtection="1"/>
    <xf numFmtId="166" fontId="39" fillId="3" borderId="2" xfId="4" applyNumberFormat="1" applyFont="1" applyAlignment="1" applyProtection="1">
      <alignment horizontal="right" indent="2"/>
    </xf>
    <xf numFmtId="172" fontId="39" fillId="3" borderId="2" xfId="1" applyNumberFormat="1" applyFont="1" applyFill="1" applyBorder="1" applyProtection="1"/>
    <xf numFmtId="172" fontId="39" fillId="3" borderId="2" xfId="4" applyNumberFormat="1" applyFont="1" applyProtection="1"/>
    <xf numFmtId="166" fontId="34" fillId="0" borderId="0" xfId="0" applyNumberFormat="1" applyFont="1" applyProtection="1"/>
    <xf numFmtId="43" fontId="34" fillId="0" borderId="0" xfId="0" applyNumberFormat="1" applyFont="1" applyProtection="1"/>
    <xf numFmtId="2" fontId="38" fillId="2" borderId="1" xfId="3" applyNumberFormat="1" applyFont="1" applyAlignment="1" applyProtection="1">
      <alignment horizontal="right"/>
    </xf>
    <xf numFmtId="1" fontId="38" fillId="2" borderId="1" xfId="3" applyNumberFormat="1" applyFont="1" applyAlignment="1" applyProtection="1">
      <alignment horizontal="right"/>
    </xf>
    <xf numFmtId="0" fontId="43" fillId="0" borderId="3" xfId="0" applyFont="1" applyBorder="1" applyProtection="1"/>
    <xf numFmtId="1" fontId="39" fillId="3" borderId="2" xfId="1" applyNumberFormat="1" applyFont="1" applyFill="1" applyBorder="1" applyAlignment="1" applyProtection="1">
      <alignment horizontal="right" indent="1"/>
    </xf>
    <xf numFmtId="2" fontId="36" fillId="4" borderId="24" xfId="1" applyNumberFormat="1" applyFont="1" applyFill="1" applyBorder="1" applyAlignment="1" applyProtection="1">
      <alignment horizontal="right" indent="1"/>
    </xf>
    <xf numFmtId="2" fontId="39" fillId="3" borderId="2" xfId="2" applyNumberFormat="1" applyFont="1" applyFill="1" applyBorder="1" applyAlignment="1" applyProtection="1">
      <alignment horizontal="right" indent="1"/>
    </xf>
    <xf numFmtId="173" fontId="39" fillId="3" borderId="2" xfId="4" applyNumberFormat="1" applyFont="1" applyProtection="1"/>
    <xf numFmtId="0" fontId="6" fillId="8" borderId="33" xfId="0" applyFont="1" applyFill="1" applyBorder="1" applyProtection="1"/>
    <xf numFmtId="0" fontId="6" fillId="8" borderId="30" xfId="0" applyFont="1" applyFill="1" applyBorder="1" applyProtection="1"/>
    <xf numFmtId="44" fontId="6" fillId="8" borderId="30" xfId="0" applyNumberFormat="1" applyFont="1" applyFill="1" applyBorder="1" applyAlignment="1" applyProtection="1">
      <alignment horizontal="left" indent="2"/>
    </xf>
    <xf numFmtId="0" fontId="13" fillId="8" borderId="0" xfId="0" applyFont="1" applyFill="1" applyBorder="1" applyProtection="1"/>
    <xf numFmtId="0" fontId="6" fillId="8" borderId="12" xfId="0" applyFont="1" applyFill="1" applyBorder="1" applyProtection="1"/>
    <xf numFmtId="0" fontId="0" fillId="8" borderId="12" xfId="0" applyFill="1" applyBorder="1" applyProtection="1"/>
    <xf numFmtId="0" fontId="0" fillId="8" borderId="12" xfId="0" applyFill="1" applyBorder="1" applyAlignment="1" applyProtection="1">
      <alignment vertical="center"/>
    </xf>
    <xf numFmtId="0" fontId="6" fillId="8" borderId="10" xfId="0" applyFont="1" applyFill="1" applyBorder="1" applyProtection="1"/>
    <xf numFmtId="0" fontId="51" fillId="0" borderId="0" xfId="10"/>
    <xf numFmtId="0" fontId="52" fillId="0" borderId="0" xfId="0" applyFont="1"/>
    <xf numFmtId="0" fontId="0" fillId="0" borderId="0" xfId="0" applyFill="1"/>
    <xf numFmtId="0" fontId="0" fillId="12" borderId="0" xfId="0" applyFill="1"/>
    <xf numFmtId="0" fontId="52" fillId="0" borderId="3" xfId="0" applyFont="1" applyBorder="1"/>
    <xf numFmtId="10" fontId="0" fillId="0" borderId="0" xfId="2" applyNumberFormat="1" applyFont="1"/>
    <xf numFmtId="174" fontId="0" fillId="0" borderId="0" xfId="0" applyNumberFormat="1" applyFill="1"/>
    <xf numFmtId="0" fontId="52" fillId="0" borderId="0" xfId="0" applyFont="1" applyBorder="1"/>
    <xf numFmtId="0" fontId="0" fillId="0" borderId="0" xfId="0" applyBorder="1" applyAlignment="1"/>
    <xf numFmtId="168" fontId="0" fillId="0" borderId="0" xfId="2" applyNumberFormat="1" applyFont="1"/>
    <xf numFmtId="175" fontId="0" fillId="0" borderId="0" xfId="0" applyNumberFormat="1"/>
    <xf numFmtId="175" fontId="10" fillId="6" borderId="0" xfId="6" applyNumberFormat="1"/>
    <xf numFmtId="0" fontId="10" fillId="6" borderId="0" xfId="6"/>
    <xf numFmtId="0" fontId="13" fillId="7" borderId="3" xfId="0" applyFont="1" applyFill="1" applyBorder="1" applyAlignment="1" applyProtection="1">
      <alignment horizontal="justify" vertical="center"/>
    </xf>
    <xf numFmtId="0" fontId="15" fillId="7" borderId="3" xfId="0" applyFont="1" applyFill="1" applyBorder="1" applyAlignment="1" applyProtection="1">
      <alignment vertical="center"/>
    </xf>
    <xf numFmtId="0" fontId="24" fillId="7" borderId="3" xfId="0" applyFont="1" applyFill="1" applyBorder="1" applyAlignment="1" applyProtection="1">
      <alignment horizontal="left" vertical="center" indent="1"/>
    </xf>
    <xf numFmtId="166" fontId="13" fillId="13" borderId="3" xfId="1" applyNumberFormat="1" applyFont="1" applyFill="1" applyBorder="1" applyAlignment="1" applyProtection="1">
      <alignment horizontal="right" vertical="center"/>
    </xf>
    <xf numFmtId="0" fontId="18" fillId="13" borderId="3" xfId="4" applyFont="1" applyFill="1" applyBorder="1" applyAlignment="1" applyProtection="1">
      <alignment horizontal="right" vertical="center" indent="1"/>
    </xf>
    <xf numFmtId="168" fontId="18" fillId="13" borderId="3" xfId="4" applyNumberFormat="1" applyFont="1" applyFill="1" applyBorder="1" applyAlignment="1" applyProtection="1">
      <alignment horizontal="right" vertical="center" indent="1"/>
    </xf>
    <xf numFmtId="166" fontId="18" fillId="13" borderId="3" xfId="1" applyNumberFormat="1" applyFont="1" applyFill="1" applyBorder="1" applyAlignment="1" applyProtection="1">
      <alignment horizontal="right" vertical="center" indent="4"/>
    </xf>
    <xf numFmtId="166" fontId="18" fillId="13" borderId="3" xfId="1" applyNumberFormat="1" applyFont="1" applyFill="1" applyBorder="1" applyAlignment="1" applyProtection="1">
      <alignment horizontal="left" vertical="center" indent="2"/>
    </xf>
    <xf numFmtId="2" fontId="19" fillId="13" borderId="3" xfId="1" applyNumberFormat="1" applyFont="1" applyFill="1" applyBorder="1" applyAlignment="1" applyProtection="1">
      <alignment horizontal="right" vertical="center" indent="1"/>
    </xf>
    <xf numFmtId="164" fontId="34" fillId="0" borderId="0" xfId="1" applyFont="1" applyAlignment="1" applyProtection="1">
      <alignment horizontal="left"/>
    </xf>
    <xf numFmtId="0" fontId="56" fillId="0" borderId="0" xfId="0" applyFont="1" applyProtection="1"/>
    <xf numFmtId="0" fontId="6" fillId="8" borderId="33" xfId="0" applyFont="1" applyFill="1" applyBorder="1" applyAlignment="1" applyProtection="1">
      <alignment vertical="center"/>
    </xf>
    <xf numFmtId="164" fontId="34" fillId="0" borderId="3" xfId="0" applyNumberFormat="1" applyFont="1" applyBorder="1" applyProtection="1"/>
    <xf numFmtId="2" fontId="43" fillId="0" borderId="3" xfId="0" applyNumberFormat="1" applyFont="1" applyBorder="1" applyProtection="1"/>
    <xf numFmtId="9" fontId="43" fillId="0" borderId="3" xfId="0" applyNumberFormat="1" applyFont="1" applyBorder="1" applyProtection="1"/>
    <xf numFmtId="164" fontId="34" fillId="0" borderId="0" xfId="1" applyFont="1" applyAlignment="1" applyProtection="1">
      <alignment horizontal="right"/>
    </xf>
    <xf numFmtId="0" fontId="24" fillId="8" borderId="0" xfId="0" applyFont="1" applyFill="1" applyBorder="1" applyAlignment="1" applyProtection="1">
      <alignment horizontal="left" vertical="center"/>
    </xf>
    <xf numFmtId="0" fontId="24" fillId="8" borderId="0" xfId="0" applyFont="1" applyFill="1" applyBorder="1" applyAlignment="1" applyProtection="1">
      <alignment vertical="center"/>
    </xf>
    <xf numFmtId="0" fontId="57" fillId="8" borderId="30" xfId="0" applyFont="1" applyFill="1" applyBorder="1" applyAlignment="1" applyProtection="1">
      <alignment horizontal="right"/>
    </xf>
    <xf numFmtId="0" fontId="25" fillId="8" borderId="0" xfId="0" applyFont="1" applyFill="1" applyBorder="1" applyAlignment="1" applyProtection="1">
      <alignment vertical="center"/>
    </xf>
    <xf numFmtId="0" fontId="21" fillId="8" borderId="0" xfId="0" applyFont="1" applyFill="1" applyBorder="1" applyAlignment="1" applyProtection="1">
      <alignment vertical="center"/>
    </xf>
    <xf numFmtId="0" fontId="57" fillId="8" borderId="30" xfId="0" applyFont="1" applyFill="1" applyBorder="1" applyAlignment="1" applyProtection="1">
      <alignment horizontal="left"/>
    </xf>
    <xf numFmtId="0" fontId="6" fillId="14" borderId="12" xfId="0" applyFont="1" applyFill="1" applyBorder="1" applyProtection="1"/>
    <xf numFmtId="0" fontId="61" fillId="8" borderId="12" xfId="0" applyFont="1" applyFill="1" applyBorder="1" applyProtection="1"/>
    <xf numFmtId="0" fontId="61" fillId="8" borderId="12" xfId="0" applyFont="1" applyFill="1" applyBorder="1" applyAlignment="1" applyProtection="1">
      <alignment vertical="center"/>
    </xf>
    <xf numFmtId="0" fontId="22" fillId="8" borderId="0" xfId="0" applyFont="1" applyFill="1" applyBorder="1" applyAlignment="1" applyProtection="1">
      <alignment vertical="center"/>
    </xf>
    <xf numFmtId="168" fontId="39" fillId="3" borderId="34" xfId="4" applyNumberFormat="1" applyFont="1" applyBorder="1" applyProtection="1"/>
    <xf numFmtId="0" fontId="0" fillId="0" borderId="3" xfId="0" applyBorder="1"/>
    <xf numFmtId="0" fontId="49" fillId="4" borderId="3" xfId="8" applyBorder="1" applyProtection="1"/>
    <xf numFmtId="0" fontId="3" fillId="2" borderId="1" xfId="3" applyProtection="1"/>
    <xf numFmtId="0" fontId="34" fillId="0" borderId="3" xfId="0" applyFont="1" applyBorder="1" applyAlignment="1" applyProtection="1">
      <alignment wrapText="1"/>
    </xf>
    <xf numFmtId="0" fontId="13" fillId="8" borderId="0" xfId="3" applyFont="1" applyFill="1" applyBorder="1" applyAlignment="1" applyProtection="1">
      <alignment vertical="center"/>
    </xf>
    <xf numFmtId="14" fontId="13" fillId="8" borderId="0" xfId="3" applyNumberFormat="1" applyFont="1" applyFill="1" applyBorder="1" applyAlignment="1" applyProtection="1">
      <alignment vertical="center"/>
    </xf>
    <xf numFmtId="0" fontId="6" fillId="9" borderId="0" xfId="0" applyFont="1" applyFill="1" applyProtection="1"/>
    <xf numFmtId="0" fontId="13" fillId="0" borderId="3" xfId="3" applyFont="1" applyFill="1" applyBorder="1" applyAlignment="1" applyProtection="1">
      <alignment horizontal="right" vertical="center" indent="1"/>
    </xf>
    <xf numFmtId="0" fontId="13" fillId="0" borderId="3" xfId="0" applyFont="1" applyFill="1" applyBorder="1" applyAlignment="1" applyProtection="1">
      <alignment horizontal="right" vertical="center" indent="1"/>
    </xf>
    <xf numFmtId="0" fontId="6" fillId="9" borderId="17" xfId="0" applyFont="1" applyFill="1" applyBorder="1" applyProtection="1"/>
    <xf numFmtId="0" fontId="6" fillId="15" borderId="0" xfId="0" applyFont="1" applyFill="1" applyAlignment="1" applyProtection="1">
      <alignment horizontal="left" indent="1"/>
    </xf>
    <xf numFmtId="0" fontId="6" fillId="9" borderId="0" xfId="0" applyFont="1" applyFill="1" applyBorder="1" applyProtection="1"/>
    <xf numFmtId="0" fontId="6" fillId="9" borderId="12" xfId="0" applyFont="1" applyFill="1" applyBorder="1" applyProtection="1"/>
    <xf numFmtId="0" fontId="0" fillId="0" borderId="12" xfId="0" applyBorder="1" applyProtection="1"/>
    <xf numFmtId="0" fontId="10" fillId="6" borderId="3" xfId="6" applyNumberFormat="1" applyBorder="1" applyProtection="1"/>
    <xf numFmtId="0" fontId="10" fillId="6" borderId="3" xfId="6" applyNumberFormat="1" applyBorder="1" applyAlignment="1" applyProtection="1">
      <alignment horizontal="right" vertical="center"/>
    </xf>
    <xf numFmtId="168" fontId="21" fillId="8" borderId="0" xfId="2" applyNumberFormat="1" applyFont="1" applyFill="1" applyBorder="1" applyAlignment="1" applyProtection="1">
      <alignment vertical="center"/>
    </xf>
    <xf numFmtId="0" fontId="25" fillId="8" borderId="0" xfId="0" applyFont="1" applyFill="1" applyBorder="1" applyAlignment="1" applyProtection="1">
      <alignment horizontal="left" vertical="center"/>
    </xf>
    <xf numFmtId="0" fontId="34" fillId="0" borderId="3" xfId="0" applyFont="1" applyFill="1" applyBorder="1" applyAlignment="1" applyProtection="1">
      <alignment wrapText="1"/>
    </xf>
    <xf numFmtId="0" fontId="6" fillId="8" borderId="0" xfId="0" applyFont="1" applyFill="1" applyAlignment="1" applyProtection="1"/>
    <xf numFmtId="0" fontId="7" fillId="8" borderId="0" xfId="0" applyFont="1" applyFill="1" applyProtection="1"/>
    <xf numFmtId="0" fontId="29" fillId="8" borderId="0" xfId="7" applyFont="1" applyFill="1" applyProtection="1"/>
    <xf numFmtId="0" fontId="6" fillId="8" borderId="0" xfId="0" applyFont="1" applyFill="1" applyProtection="1">
      <protection locked="0"/>
    </xf>
    <xf numFmtId="0" fontId="12" fillId="7" borderId="3" xfId="0" applyFont="1" applyFill="1" applyBorder="1" applyAlignment="1" applyProtection="1">
      <alignment vertical="center"/>
    </xf>
    <xf numFmtId="0" fontId="70" fillId="7" borderId="3" xfId="0" applyFont="1" applyFill="1" applyBorder="1" applyAlignment="1" applyProtection="1">
      <alignment vertical="center"/>
    </xf>
    <xf numFmtId="0" fontId="69" fillId="7" borderId="3" xfId="0" applyFont="1" applyFill="1" applyBorder="1" applyAlignment="1" applyProtection="1">
      <alignment vertical="center"/>
    </xf>
    <xf numFmtId="0" fontId="13" fillId="8" borderId="0" xfId="0" applyNumberFormat="1" applyFont="1" applyFill="1" applyAlignment="1" applyProtection="1">
      <alignment vertical="center" wrapText="1"/>
    </xf>
    <xf numFmtId="49" fontId="13" fillId="8" borderId="0" xfId="0" applyNumberFormat="1" applyFont="1" applyFill="1" applyAlignment="1" applyProtection="1">
      <alignment vertical="center" wrapText="1"/>
    </xf>
    <xf numFmtId="49" fontId="14" fillId="8" borderId="0" xfId="0" applyNumberFormat="1" applyFont="1" applyFill="1" applyAlignment="1" applyProtection="1">
      <alignment vertical="center" wrapText="1"/>
    </xf>
    <xf numFmtId="0" fontId="1" fillId="8" borderId="0" xfId="0" applyNumberFormat="1" applyFont="1" applyFill="1" applyProtection="1"/>
    <xf numFmtId="0" fontId="63" fillId="8" borderId="0" xfId="0" applyNumberFormat="1" applyFont="1" applyFill="1" applyAlignment="1" applyProtection="1">
      <alignment vertical="center"/>
    </xf>
    <xf numFmtId="0" fontId="30" fillId="8" borderId="0" xfId="0" applyFont="1" applyFill="1" applyProtection="1"/>
    <xf numFmtId="49" fontId="6" fillId="8" borderId="0" xfId="0" applyNumberFormat="1" applyFont="1" applyFill="1" applyProtection="1"/>
    <xf numFmtId="0" fontId="1" fillId="8" borderId="0" xfId="0" applyFont="1" applyFill="1" applyProtection="1"/>
    <xf numFmtId="0" fontId="73" fillId="8" borderId="0" xfId="7" applyFont="1" applyFill="1" applyProtection="1"/>
    <xf numFmtId="0" fontId="31" fillId="8" borderId="0" xfId="7" applyFont="1" applyFill="1" applyProtection="1"/>
    <xf numFmtId="168" fontId="49" fillId="4" borderId="3" xfId="8" applyNumberFormat="1" applyBorder="1" applyAlignment="1" applyProtection="1">
      <alignment horizontal="right" vertical="center"/>
    </xf>
    <xf numFmtId="0" fontId="4" fillId="3" borderId="2" xfId="4" applyAlignment="1" applyProtection="1">
      <alignment horizontal="left"/>
    </xf>
    <xf numFmtId="0" fontId="4" fillId="3" borderId="2" xfId="4" applyProtection="1"/>
    <xf numFmtId="0" fontId="4" fillId="3" borderId="2" xfId="4" applyAlignment="1" applyProtection="1">
      <alignment horizontal="right"/>
    </xf>
    <xf numFmtId="0" fontId="76" fillId="8" borderId="0" xfId="0" applyFont="1" applyFill="1" applyBorder="1" applyProtection="1"/>
    <xf numFmtId="0" fontId="77" fillId="8" borderId="0" xfId="0" applyFont="1" applyFill="1" applyBorder="1" applyAlignment="1" applyProtection="1">
      <alignment horizontal="right"/>
    </xf>
    <xf numFmtId="0" fontId="24" fillId="7" borderId="3" xfId="0" applyFont="1" applyFill="1" applyBorder="1" applyAlignment="1" applyProtection="1">
      <alignment horizontal="left" vertical="center"/>
    </xf>
    <xf numFmtId="0" fontId="24" fillId="7" borderId="3" xfId="0" applyFont="1" applyFill="1" applyBorder="1" applyAlignment="1" applyProtection="1">
      <alignment vertical="center"/>
    </xf>
    <xf numFmtId="0" fontId="24" fillId="7" borderId="3" xfId="0" applyFont="1" applyFill="1" applyBorder="1" applyAlignment="1" applyProtection="1">
      <alignment horizontal="left" vertical="center" wrapText="1"/>
    </xf>
    <xf numFmtId="0" fontId="34" fillId="0" borderId="0" xfId="0" applyFont="1" applyProtection="1">
      <protection locked="0"/>
    </xf>
    <xf numFmtId="0" fontId="6" fillId="14" borderId="31" xfId="0" applyFont="1" applyFill="1" applyBorder="1" applyAlignment="1" applyProtection="1">
      <alignment horizontal="left" indent="1"/>
    </xf>
    <xf numFmtId="0" fontId="6" fillId="14" borderId="28" xfId="0" applyFont="1" applyFill="1" applyBorder="1" applyProtection="1"/>
    <xf numFmtId="0" fontId="6" fillId="14" borderId="29" xfId="0" applyFont="1" applyFill="1" applyBorder="1" applyProtection="1"/>
    <xf numFmtId="0" fontId="6" fillId="10" borderId="28" xfId="0" applyFont="1" applyFill="1" applyBorder="1" applyProtection="1"/>
    <xf numFmtId="0" fontId="6" fillId="14" borderId="35" xfId="0" applyFont="1" applyFill="1" applyBorder="1" applyProtection="1"/>
    <xf numFmtId="0" fontId="62" fillId="14" borderId="0" xfId="0" applyFont="1" applyFill="1" applyBorder="1" applyAlignment="1" applyProtection="1">
      <alignment horizontal="left"/>
    </xf>
    <xf numFmtId="0" fontId="9" fillId="14" borderId="0" xfId="0" applyFont="1" applyFill="1" applyBorder="1" applyProtection="1"/>
    <xf numFmtId="0" fontId="60" fillId="14" borderId="0" xfId="0" applyFont="1" applyFill="1" applyBorder="1" applyProtection="1"/>
    <xf numFmtId="0" fontId="9" fillId="10" borderId="0" xfId="0" applyFont="1" applyFill="1" applyBorder="1" applyProtection="1"/>
    <xf numFmtId="0" fontId="6" fillId="10" borderId="0" xfId="0" applyFont="1" applyFill="1" applyBorder="1" applyProtection="1"/>
    <xf numFmtId="0" fontId="6" fillId="8" borderId="35" xfId="0" applyFont="1" applyFill="1" applyBorder="1" applyProtection="1"/>
    <xf numFmtId="0" fontId="6" fillId="15" borderId="0" xfId="0" applyFont="1" applyFill="1" applyBorder="1" applyProtection="1"/>
    <xf numFmtId="0" fontId="6" fillId="0" borderId="0" xfId="0" applyFont="1" applyFill="1" applyBorder="1" applyProtection="1"/>
    <xf numFmtId="0" fontId="6" fillId="0" borderId="0" xfId="0" applyFont="1" applyBorder="1" applyProtection="1"/>
    <xf numFmtId="0" fontId="6" fillId="8" borderId="35" xfId="0" applyFont="1" applyFill="1" applyBorder="1" applyAlignment="1" applyProtection="1">
      <alignment horizontal="left" indent="1"/>
    </xf>
    <xf numFmtId="0" fontId="6" fillId="8" borderId="0" xfId="0" applyFont="1" applyFill="1" applyBorder="1" applyAlignment="1" applyProtection="1">
      <alignment horizontal="right"/>
    </xf>
    <xf numFmtId="0" fontId="6" fillId="8" borderId="0" xfId="0" applyFont="1" applyFill="1" applyBorder="1" applyAlignment="1" applyProtection="1">
      <alignment horizontal="left"/>
    </xf>
    <xf numFmtId="0" fontId="15" fillId="8" borderId="0" xfId="0" applyFont="1" applyFill="1" applyBorder="1" applyProtection="1"/>
    <xf numFmtId="0" fontId="6" fillId="9" borderId="0" xfId="0" applyFont="1" applyFill="1" applyBorder="1" applyAlignment="1" applyProtection="1">
      <alignment horizontal="left"/>
    </xf>
    <xf numFmtId="0" fontId="13" fillId="8" borderId="35" xfId="0" applyFont="1" applyFill="1" applyBorder="1" applyAlignment="1" applyProtection="1">
      <alignment horizontal="left" indent="1"/>
    </xf>
    <xf numFmtId="0" fontId="13" fillId="8" borderId="0" xfId="0" applyFont="1" applyFill="1" applyBorder="1" applyAlignment="1" applyProtection="1">
      <alignment horizontal="right"/>
    </xf>
    <xf numFmtId="0" fontId="14" fillId="8" borderId="0" xfId="0" applyFont="1" applyFill="1" applyBorder="1" applyAlignment="1" applyProtection="1">
      <alignment horizontal="left"/>
    </xf>
    <xf numFmtId="0" fontId="21" fillId="8" borderId="0" xfId="0" applyFont="1" applyFill="1" applyBorder="1" applyProtection="1"/>
    <xf numFmtId="0" fontId="13" fillId="8" borderId="35" xfId="0" applyFont="1" applyFill="1" applyBorder="1" applyAlignment="1" applyProtection="1">
      <alignment horizontal="left" vertical="center"/>
    </xf>
    <xf numFmtId="0" fontId="6" fillId="8" borderId="0" xfId="0" applyFont="1" applyFill="1" applyBorder="1" applyAlignment="1" applyProtection="1">
      <alignment vertical="center"/>
    </xf>
    <xf numFmtId="0" fontId="13" fillId="8" borderId="0" xfId="0" applyFont="1" applyFill="1" applyBorder="1" applyAlignment="1" applyProtection="1">
      <alignment horizontal="right" vertical="center"/>
    </xf>
    <xf numFmtId="0" fontId="6" fillId="9" borderId="0" xfId="0" applyFont="1" applyFill="1" applyBorder="1" applyAlignment="1" applyProtection="1">
      <alignment horizontal="left" vertical="center"/>
    </xf>
    <xf numFmtId="0" fontId="6" fillId="9" borderId="0" xfId="0" applyFont="1" applyFill="1" applyBorder="1" applyAlignment="1" applyProtection="1">
      <alignment vertical="center"/>
    </xf>
    <xf numFmtId="0" fontId="6" fillId="8" borderId="0" xfId="0" applyFont="1" applyFill="1" applyBorder="1" applyAlignment="1" applyProtection="1">
      <alignment horizontal="left" vertical="center"/>
    </xf>
    <xf numFmtId="0" fontId="21" fillId="8" borderId="35" xfId="0" applyFont="1" applyFill="1" applyBorder="1" applyAlignment="1" applyProtection="1">
      <alignment horizontal="left" vertical="center"/>
    </xf>
    <xf numFmtId="0" fontId="21" fillId="8" borderId="35" xfId="0" applyFont="1" applyFill="1" applyBorder="1" applyAlignment="1" applyProtection="1">
      <alignment horizontal="left" indent="1"/>
    </xf>
    <xf numFmtId="0" fontId="13" fillId="8" borderId="0" xfId="0" applyFont="1" applyFill="1" applyBorder="1" applyAlignment="1" applyProtection="1">
      <alignment horizontal="left" vertical="center"/>
    </xf>
    <xf numFmtId="0" fontId="75" fillId="8" borderId="0" xfId="6" applyFont="1" applyFill="1" applyBorder="1" applyAlignment="1" applyProtection="1">
      <alignment horizontal="right" vertical="center"/>
    </xf>
    <xf numFmtId="0" fontId="63" fillId="8" borderId="35" xfId="0" applyFont="1" applyFill="1" applyBorder="1" applyAlignment="1" applyProtection="1">
      <alignment horizontal="left" vertical="center"/>
    </xf>
    <xf numFmtId="0" fontId="24" fillId="8" borderId="0" xfId="0" applyFont="1" applyFill="1" applyBorder="1" applyProtection="1"/>
    <xf numFmtId="0" fontId="20" fillId="8" borderId="0" xfId="6" applyFont="1" applyFill="1" applyBorder="1" applyAlignment="1" applyProtection="1">
      <alignment horizontal="right" vertical="center"/>
    </xf>
    <xf numFmtId="0" fontId="13" fillId="8" borderId="0" xfId="0" applyFont="1" applyFill="1" applyBorder="1" applyAlignment="1" applyProtection="1"/>
    <xf numFmtId="0" fontId="76" fillId="8" borderId="0" xfId="0" applyFont="1" applyFill="1" applyBorder="1" applyAlignment="1" applyProtection="1"/>
    <xf numFmtId="0" fontId="25" fillId="8" borderId="0" xfId="0" applyFont="1" applyFill="1" applyBorder="1" applyAlignment="1" applyProtection="1">
      <alignment vertical="center" wrapText="1"/>
    </xf>
    <xf numFmtId="0" fontId="63" fillId="8" borderId="0" xfId="0" applyFont="1" applyFill="1" applyBorder="1" applyAlignment="1" applyProtection="1">
      <alignment horizontal="left"/>
    </xf>
    <xf numFmtId="0" fontId="63" fillId="8" borderId="0" xfId="0" applyFont="1" applyFill="1" applyBorder="1" applyProtection="1"/>
    <xf numFmtId="0" fontId="76" fillId="8" borderId="0" xfId="0" applyFont="1" applyFill="1" applyBorder="1" applyAlignment="1" applyProtection="1">
      <alignment horizontal="left" vertical="center"/>
    </xf>
    <xf numFmtId="0" fontId="76" fillId="8" borderId="0" xfId="0" applyFont="1" applyFill="1" applyBorder="1" applyAlignment="1" applyProtection="1">
      <alignment horizontal="right" vertical="center" wrapText="1"/>
    </xf>
    <xf numFmtId="0" fontId="76" fillId="8" borderId="0" xfId="0" applyFont="1" applyFill="1" applyBorder="1" applyAlignment="1" applyProtection="1">
      <alignment horizontal="right"/>
    </xf>
    <xf numFmtId="0" fontId="58" fillId="8" borderId="0" xfId="6" applyFont="1" applyFill="1" applyBorder="1" applyAlignment="1" applyProtection="1">
      <alignment horizontal="right"/>
    </xf>
    <xf numFmtId="0" fontId="6" fillId="8" borderId="32" xfId="0" applyFont="1" applyFill="1" applyBorder="1" applyAlignment="1" applyProtection="1">
      <alignment horizontal="left" indent="1"/>
    </xf>
    <xf numFmtId="0" fontId="6" fillId="8" borderId="36" xfId="0" applyFont="1" applyFill="1" applyBorder="1" applyProtection="1"/>
    <xf numFmtId="174" fontId="34" fillId="0" borderId="0" xfId="0" applyNumberFormat="1" applyFont="1" applyProtection="1"/>
    <xf numFmtId="175" fontId="34" fillId="0" borderId="0" xfId="0" applyNumberFormat="1" applyFont="1" applyBorder="1"/>
    <xf numFmtId="0" fontId="34" fillId="0" borderId="0" xfId="0" applyFont="1"/>
    <xf numFmtId="0" fontId="78" fillId="4" borderId="0" xfId="8" applyFont="1"/>
    <xf numFmtId="174" fontId="34" fillId="0" borderId="0" xfId="0" applyNumberFormat="1" applyFont="1"/>
    <xf numFmtId="9" fontId="78" fillId="4" borderId="0" xfId="8" applyNumberFormat="1" applyFont="1"/>
    <xf numFmtId="0" fontId="79" fillId="0" borderId="0" xfId="10" applyFont="1"/>
    <xf numFmtId="9" fontId="79" fillId="0" borderId="0" xfId="2" applyFont="1"/>
    <xf numFmtId="174" fontId="34" fillId="0" borderId="0" xfId="0" applyNumberFormat="1" applyFont="1" applyFill="1"/>
    <xf numFmtId="10" fontId="34" fillId="0" borderId="0" xfId="2" applyNumberFormat="1" applyFont="1"/>
    <xf numFmtId="0" fontId="34" fillId="12" borderId="0" xfId="0" applyFont="1" applyFill="1"/>
    <xf numFmtId="0" fontId="34" fillId="0" borderId="0" xfId="0" applyFont="1" applyFill="1"/>
    <xf numFmtId="0" fontId="36" fillId="0" borderId="0" xfId="0" applyFont="1"/>
    <xf numFmtId="2" fontId="38" fillId="2" borderId="1" xfId="3" applyNumberFormat="1" applyFont="1"/>
    <xf numFmtId="10" fontId="38" fillId="2" borderId="1" xfId="3" applyNumberFormat="1" applyFont="1"/>
    <xf numFmtId="10" fontId="34" fillId="0" borderId="0" xfId="0" applyNumberFormat="1" applyFont="1"/>
    <xf numFmtId="0" fontId="80" fillId="3" borderId="1" xfId="9" applyFont="1"/>
    <xf numFmtId="176" fontId="51" fillId="0" borderId="0" xfId="10" applyNumberFormat="1"/>
    <xf numFmtId="10" fontId="80" fillId="3" borderId="1" xfId="2" applyNumberFormat="1" applyFont="1" applyFill="1" applyBorder="1"/>
    <xf numFmtId="10" fontId="34" fillId="0" borderId="0" xfId="2" applyNumberFormat="1" applyFont="1" applyProtection="1"/>
    <xf numFmtId="0" fontId="81" fillId="0" borderId="0" xfId="0" applyFont="1" applyProtection="1"/>
    <xf numFmtId="0" fontId="83" fillId="8" borderId="0" xfId="0" applyFont="1" applyFill="1" applyBorder="1" applyAlignment="1" applyProtection="1">
      <alignment horizontal="left" vertical="center"/>
    </xf>
    <xf numFmtId="0" fontId="57" fillId="8" borderId="0" xfId="0" applyFont="1" applyFill="1" applyBorder="1" applyAlignment="1" applyProtection="1">
      <alignment horizontal="left"/>
    </xf>
    <xf numFmtId="0" fontId="24" fillId="7" borderId="3" xfId="0" applyFont="1" applyFill="1" applyBorder="1" applyAlignment="1" applyProtection="1">
      <alignment vertical="center"/>
    </xf>
    <xf numFmtId="0" fontId="1" fillId="0" borderId="3" xfId="3" applyFont="1" applyFill="1" applyBorder="1" applyAlignment="1" applyProtection="1">
      <alignment horizontal="left" vertical="center" indent="1"/>
      <protection locked="0"/>
    </xf>
    <xf numFmtId="164" fontId="13" fillId="8" borderId="0" xfId="0" applyNumberFormat="1" applyFont="1" applyFill="1" applyBorder="1" applyAlignment="1" applyProtection="1">
      <alignment vertical="center"/>
    </xf>
    <xf numFmtId="171" fontId="1" fillId="0" borderId="3" xfId="3" applyNumberFormat="1" applyFont="1" applyFill="1" applyBorder="1" applyAlignment="1" applyProtection="1">
      <alignment horizontal="left" vertical="center" indent="1"/>
      <protection locked="0"/>
    </xf>
    <xf numFmtId="166" fontId="1" fillId="0" borderId="3" xfId="3" applyNumberFormat="1" applyFont="1" applyFill="1" applyBorder="1" applyAlignment="1" applyProtection="1">
      <alignment vertical="center"/>
      <protection locked="0"/>
    </xf>
    <xf numFmtId="166" fontId="1" fillId="0" borderId="3" xfId="3" applyNumberFormat="1" applyFont="1" applyFill="1" applyBorder="1" applyAlignment="1" applyProtection="1">
      <alignment horizontal="left" vertical="center" indent="1"/>
      <protection locked="0"/>
    </xf>
    <xf numFmtId="164" fontId="21" fillId="8" borderId="0" xfId="1" applyFont="1" applyFill="1" applyBorder="1" applyAlignment="1" applyProtection="1">
      <alignment horizontal="right" vertical="center" indent="1"/>
    </xf>
    <xf numFmtId="165" fontId="1" fillId="11" borderId="3" xfId="3" applyNumberFormat="1" applyFont="1" applyFill="1" applyBorder="1" applyAlignment="1" applyProtection="1">
      <alignment horizontal="center" vertical="center"/>
    </xf>
    <xf numFmtId="2" fontId="21" fillId="8" borderId="0" xfId="1" applyNumberFormat="1" applyFont="1" applyFill="1" applyBorder="1" applyAlignment="1" applyProtection="1">
      <alignment horizontal="right" vertical="center" indent="1"/>
    </xf>
    <xf numFmtId="9" fontId="21" fillId="8" borderId="0" xfId="3" applyNumberFormat="1" applyFont="1" applyFill="1" applyBorder="1" applyAlignment="1" applyProtection="1">
      <alignment horizontal="right" vertical="center" indent="1"/>
    </xf>
    <xf numFmtId="2" fontId="21" fillId="8" borderId="0" xfId="3" applyNumberFormat="1" applyFont="1" applyFill="1" applyBorder="1" applyAlignment="1" applyProtection="1">
      <alignment horizontal="right" vertical="center" indent="1"/>
    </xf>
    <xf numFmtId="2" fontId="21" fillId="8" borderId="0" xfId="2" applyNumberFormat="1" applyFont="1" applyFill="1" applyBorder="1" applyAlignment="1" applyProtection="1">
      <alignment horizontal="right" vertical="center" indent="1"/>
    </xf>
    <xf numFmtId="165" fontId="13" fillId="8" borderId="0" xfId="3" applyNumberFormat="1" applyFont="1" applyFill="1" applyBorder="1" applyAlignment="1" applyProtection="1">
      <alignment horizontal="right" indent="1"/>
      <protection locked="0"/>
    </xf>
    <xf numFmtId="9" fontId="21" fillId="8" borderId="0" xfId="2" applyFont="1" applyFill="1" applyBorder="1" applyAlignment="1" applyProtection="1">
      <alignment horizontal="right" vertical="center" indent="1"/>
    </xf>
    <xf numFmtId="0" fontId="83" fillId="8" borderId="0" xfId="0" applyFont="1" applyFill="1" applyBorder="1" applyAlignment="1" applyProtection="1">
      <alignment vertical="center"/>
    </xf>
    <xf numFmtId="0" fontId="34" fillId="0" borderId="26" xfId="0" applyFont="1" applyBorder="1" applyAlignment="1" applyProtection="1">
      <alignment horizontal="justify" vertical="center" wrapText="1"/>
    </xf>
    <xf numFmtId="0" fontId="34" fillId="0" borderId="27" xfId="0" applyFont="1" applyBorder="1" applyAlignment="1" applyProtection="1">
      <alignment horizontal="justify" vertical="center" wrapText="1"/>
    </xf>
    <xf numFmtId="0" fontId="34" fillId="0" borderId="7" xfId="0" applyFont="1" applyBorder="1" applyAlignment="1" applyProtection="1">
      <alignment horizontal="justify" vertical="center" wrapText="1"/>
    </xf>
    <xf numFmtId="0" fontId="36" fillId="0" borderId="31" xfId="0" applyFont="1" applyBorder="1" applyAlignment="1" applyProtection="1">
      <alignment horizontal="center" vertical="center" wrapText="1"/>
    </xf>
    <xf numFmtId="0" fontId="36" fillId="0" borderId="28" xfId="0" applyFont="1" applyBorder="1" applyAlignment="1" applyProtection="1">
      <alignment horizontal="center" vertical="center" wrapText="1"/>
    </xf>
    <xf numFmtId="0" fontId="36" fillId="0" borderId="29" xfId="0" applyFont="1" applyBorder="1" applyAlignment="1" applyProtection="1">
      <alignment horizontal="center" vertical="center" wrapText="1"/>
    </xf>
    <xf numFmtId="0" fontId="36" fillId="0" borderId="32" xfId="0" applyFont="1" applyBorder="1" applyAlignment="1" applyProtection="1">
      <alignment horizontal="center" vertical="center" wrapText="1"/>
    </xf>
    <xf numFmtId="0" fontId="36" fillId="0" borderId="30" xfId="0" applyFont="1" applyBorder="1" applyAlignment="1" applyProtection="1">
      <alignment horizontal="center" vertical="center" wrapText="1"/>
    </xf>
    <xf numFmtId="0" fontId="36" fillId="0" borderId="10" xfId="0" applyFont="1" applyBorder="1" applyAlignment="1" applyProtection="1">
      <alignment horizontal="center" vertical="center" wrapText="1"/>
    </xf>
    <xf numFmtId="0" fontId="36" fillId="0" borderId="11" xfId="0" applyFont="1" applyBorder="1" applyAlignment="1" applyProtection="1">
      <alignment horizontal="center" vertical="center" wrapText="1"/>
    </xf>
    <xf numFmtId="0" fontId="36" fillId="0" borderId="9" xfId="0" applyFont="1" applyBorder="1" applyAlignment="1" applyProtection="1">
      <alignment horizontal="center" vertical="center" wrapText="1"/>
    </xf>
    <xf numFmtId="0" fontId="36" fillId="0" borderId="8"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34" fillId="0" borderId="5" xfId="0" applyFont="1" applyBorder="1" applyAlignment="1" applyProtection="1">
      <alignment horizontal="center" vertical="center" wrapText="1"/>
    </xf>
    <xf numFmtId="0" fontId="34" fillId="0" borderId="6" xfId="0" applyFont="1" applyBorder="1" applyAlignment="1" applyProtection="1">
      <alignment horizontal="center" vertical="center" wrapText="1"/>
    </xf>
    <xf numFmtId="0" fontId="34" fillId="0" borderId="4" xfId="0" applyFont="1" applyBorder="1" applyAlignment="1" applyProtection="1">
      <alignment horizontal="left" vertical="center" wrapText="1"/>
    </xf>
    <xf numFmtId="0" fontId="34" fillId="0" borderId="5" xfId="0" applyFont="1" applyBorder="1" applyAlignment="1" applyProtection="1">
      <alignment horizontal="left" vertical="center" wrapText="1"/>
    </xf>
    <xf numFmtId="0" fontId="34" fillId="0" borderId="6" xfId="0" applyFont="1" applyBorder="1" applyAlignment="1" applyProtection="1">
      <alignment horizontal="left" vertical="center" wrapText="1"/>
    </xf>
    <xf numFmtId="0" fontId="34" fillId="0" borderId="21" xfId="0" applyFont="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23" xfId="0" applyFont="1" applyBorder="1" applyAlignment="1" applyProtection="1">
      <alignment horizontal="left" vertical="center" wrapText="1"/>
    </xf>
    <xf numFmtId="0" fontId="34" fillId="0" borderId="19" xfId="0" applyFont="1" applyBorder="1" applyAlignment="1" applyProtection="1">
      <alignment horizontal="left" vertical="center" wrapText="1"/>
    </xf>
    <xf numFmtId="0" fontId="34" fillId="0" borderId="0" xfId="0" applyFont="1" applyBorder="1" applyAlignment="1" applyProtection="1">
      <alignment horizontal="left" vertical="center" wrapText="1"/>
    </xf>
    <xf numFmtId="0" fontId="34" fillId="0" borderId="20" xfId="0" applyFont="1" applyBorder="1" applyAlignment="1" applyProtection="1">
      <alignment horizontal="left" vertical="center" wrapText="1"/>
    </xf>
    <xf numFmtId="0" fontId="34" fillId="0" borderId="13" xfId="0" applyFont="1" applyBorder="1" applyAlignment="1" applyProtection="1">
      <alignment horizontal="center" vertical="center" wrapText="1"/>
    </xf>
    <xf numFmtId="0" fontId="34" fillId="0" borderId="14" xfId="0" applyFont="1" applyBorder="1" applyAlignment="1" applyProtection="1">
      <alignment horizontal="center" vertical="center" wrapText="1"/>
    </xf>
    <xf numFmtId="0" fontId="34" fillId="0" borderId="15" xfId="0" applyFont="1" applyBorder="1" applyAlignment="1" applyProtection="1">
      <alignment horizontal="center" vertical="center" wrapText="1"/>
    </xf>
    <xf numFmtId="0" fontId="34" fillId="0" borderId="16" xfId="0" applyFont="1" applyBorder="1" applyAlignment="1" applyProtection="1">
      <alignment horizontal="left" vertical="center" wrapText="1"/>
    </xf>
    <xf numFmtId="0" fontId="34" fillId="0" borderId="17" xfId="0" applyFont="1" applyBorder="1" applyAlignment="1" applyProtection="1">
      <alignment horizontal="left" vertical="center" wrapText="1"/>
    </xf>
    <xf numFmtId="0" fontId="34" fillId="0" borderId="18" xfId="0" applyFont="1" applyBorder="1" applyAlignment="1" applyProtection="1">
      <alignment horizontal="left" vertical="center" wrapText="1"/>
    </xf>
    <xf numFmtId="0" fontId="34" fillId="0" borderId="13" xfId="0" applyFont="1" applyBorder="1" applyAlignment="1" applyProtection="1">
      <alignment horizontal="left" vertical="center" wrapText="1"/>
    </xf>
    <xf numFmtId="0" fontId="34" fillId="0" borderId="15" xfId="0" applyFont="1" applyBorder="1" applyAlignment="1" applyProtection="1">
      <alignment horizontal="left" vertical="center" wrapText="1"/>
    </xf>
    <xf numFmtId="49" fontId="1" fillId="8" borderId="0" xfId="0" applyNumberFormat="1" applyFont="1" applyFill="1" applyAlignment="1" applyProtection="1">
      <alignment horizontal="left" vertical="center" wrapText="1"/>
    </xf>
    <xf numFmtId="49" fontId="13" fillId="8" borderId="0" xfId="0" applyNumberFormat="1" applyFont="1" applyFill="1" applyAlignment="1" applyProtection="1">
      <alignment horizontal="left" vertical="center" wrapText="1"/>
    </xf>
    <xf numFmtId="49" fontId="14" fillId="8" borderId="0" xfId="0" applyNumberFormat="1" applyFont="1" applyFill="1" applyAlignment="1" applyProtection="1">
      <alignment horizontal="left" vertical="center" wrapText="1"/>
    </xf>
    <xf numFmtId="0" fontId="1" fillId="8" borderId="0" xfId="0" applyNumberFormat="1" applyFont="1" applyFill="1" applyAlignment="1" applyProtection="1">
      <alignment horizontal="left" vertical="center" wrapText="1"/>
    </xf>
    <xf numFmtId="0" fontId="13" fillId="8" borderId="0" xfId="0" applyNumberFormat="1" applyFont="1" applyFill="1" applyAlignment="1" applyProtection="1">
      <alignment horizontal="left" vertical="center" wrapText="1"/>
    </xf>
    <xf numFmtId="49" fontId="1" fillId="8" borderId="19" xfId="0" applyNumberFormat="1" applyFont="1" applyFill="1" applyBorder="1" applyAlignment="1" applyProtection="1">
      <alignment horizontal="left" vertical="center"/>
    </xf>
    <xf numFmtId="49" fontId="13" fillId="8" borderId="0" xfId="0" applyNumberFormat="1" applyFont="1" applyFill="1" applyBorder="1" applyAlignment="1" applyProtection="1">
      <alignment horizontal="left" vertical="center"/>
    </xf>
    <xf numFmtId="0" fontId="8" fillId="8" borderId="0" xfId="0" applyFont="1" applyFill="1" applyAlignment="1" applyProtection="1">
      <alignment horizontal="center" vertical="center" wrapText="1"/>
    </xf>
    <xf numFmtId="49" fontId="74" fillId="8" borderId="0" xfId="0" applyNumberFormat="1" applyFont="1" applyFill="1" applyAlignment="1" applyProtection="1">
      <alignment horizontal="left" vertical="center" wrapText="1"/>
    </xf>
    <xf numFmtId="0" fontId="14" fillId="8" borderId="0" xfId="0" applyFont="1" applyFill="1" applyAlignment="1" applyProtection="1">
      <alignment horizontal="left" vertical="center" wrapText="1"/>
    </xf>
    <xf numFmtId="0" fontId="1" fillId="8" borderId="0" xfId="0" applyNumberFormat="1" applyFont="1" applyFill="1" applyAlignment="1" applyProtection="1">
      <alignment horizontal="left"/>
    </xf>
    <xf numFmtId="49" fontId="72" fillId="8" borderId="0" xfId="0" applyNumberFormat="1" applyFont="1" applyFill="1" applyAlignment="1" applyProtection="1">
      <alignment horizontal="left" vertical="center" wrapText="1"/>
    </xf>
    <xf numFmtId="0" fontId="77" fillId="8" borderId="0" xfId="0" applyFont="1" applyFill="1" applyBorder="1" applyAlignment="1" applyProtection="1">
      <alignment horizontal="left" vertical="top" wrapText="1"/>
    </xf>
    <xf numFmtId="0" fontId="24" fillId="7" borderId="3" xfId="0" applyFont="1" applyFill="1" applyBorder="1" applyAlignment="1" applyProtection="1">
      <alignment horizontal="left" vertical="center"/>
    </xf>
    <xf numFmtId="0" fontId="24" fillId="7" borderId="3" xfId="0" applyFont="1" applyFill="1" applyBorder="1" applyAlignment="1" applyProtection="1">
      <alignment horizontal="left" vertical="center" wrapText="1"/>
    </xf>
    <xf numFmtId="0" fontId="24" fillId="16" borderId="3" xfId="0" applyFont="1" applyFill="1" applyBorder="1" applyAlignment="1" applyProtection="1">
      <alignment horizontal="center" vertical="center"/>
    </xf>
    <xf numFmtId="0" fontId="69" fillId="7" borderId="3" xfId="0" applyFont="1" applyFill="1" applyBorder="1" applyAlignment="1" applyProtection="1">
      <alignment horizontal="left" vertical="center"/>
    </xf>
    <xf numFmtId="0" fontId="24" fillId="7" borderId="3" xfId="0" applyFont="1" applyFill="1" applyBorder="1" applyAlignment="1" applyProtection="1">
      <alignment vertical="center"/>
    </xf>
    <xf numFmtId="0" fontId="24" fillId="7" borderId="13" xfId="0" applyFont="1" applyFill="1" applyBorder="1" applyAlignment="1" applyProtection="1">
      <alignment horizontal="left" vertical="center" wrapText="1"/>
    </xf>
    <xf numFmtId="0" fontId="24" fillId="7" borderId="14" xfId="0" applyFont="1" applyFill="1" applyBorder="1" applyAlignment="1" applyProtection="1">
      <alignment horizontal="left" vertical="center" wrapText="1"/>
    </xf>
    <xf numFmtId="0" fontId="24" fillId="7" borderId="15" xfId="0" applyFont="1" applyFill="1" applyBorder="1" applyAlignment="1" applyProtection="1">
      <alignment horizontal="left" vertical="center" wrapText="1"/>
    </xf>
    <xf numFmtId="0" fontId="1" fillId="0" borderId="3" xfId="3" applyFont="1" applyFill="1" applyBorder="1" applyAlignment="1" applyProtection="1">
      <alignment horizontal="left" vertical="center" wrapText="1" indent="1"/>
      <protection locked="0"/>
    </xf>
    <xf numFmtId="0" fontId="13" fillId="0" borderId="3" xfId="3" applyFont="1" applyFill="1" applyBorder="1" applyAlignment="1" applyProtection="1">
      <alignment horizontal="left" vertical="center" indent="1"/>
      <protection locked="0"/>
    </xf>
    <xf numFmtId="14" fontId="13" fillId="11" borderId="3" xfId="3" applyNumberFormat="1" applyFont="1" applyFill="1" applyBorder="1" applyAlignment="1" applyProtection="1">
      <alignment horizontal="left" vertical="center" indent="1"/>
    </xf>
    <xf numFmtId="0" fontId="1" fillId="0" borderId="3" xfId="3" applyFont="1" applyFill="1" applyBorder="1" applyAlignment="1" applyProtection="1">
      <alignment horizontal="left" vertical="center" indent="1"/>
      <protection locked="0"/>
    </xf>
    <xf numFmtId="0" fontId="1" fillId="11" borderId="3" xfId="3" applyFont="1" applyFill="1" applyBorder="1" applyAlignment="1" applyProtection="1">
      <alignment horizontal="right" vertical="center" indent="1"/>
      <protection locked="0"/>
    </xf>
    <xf numFmtId="164" fontId="1" fillId="11" borderId="3" xfId="3" applyNumberFormat="1" applyFont="1" applyFill="1" applyBorder="1" applyAlignment="1" applyProtection="1">
      <alignment horizontal="right" vertical="center" indent="1"/>
      <protection locked="0"/>
    </xf>
    <xf numFmtId="1" fontId="13" fillId="11" borderId="3" xfId="1" applyNumberFormat="1" applyFont="1" applyFill="1" applyBorder="1" applyAlignment="1" applyProtection="1">
      <alignment horizontal="right" vertical="center" indent="1"/>
      <protection locked="0"/>
    </xf>
    <xf numFmtId="2" fontId="13" fillId="11" borderId="3" xfId="1" applyNumberFormat="1" applyFont="1" applyFill="1" applyBorder="1" applyAlignment="1" applyProtection="1">
      <alignment horizontal="right" vertical="center" indent="1"/>
      <protection locked="0"/>
    </xf>
    <xf numFmtId="9" fontId="13" fillId="11" borderId="3" xfId="3" applyNumberFormat="1" applyFont="1" applyFill="1" applyBorder="1" applyAlignment="1" applyProtection="1">
      <alignment horizontal="right" vertical="center" indent="1"/>
      <protection locked="0"/>
    </xf>
  </cellXfs>
  <cellStyles count="11">
    <cellStyle name="Ausgabe" xfId="4" builtinId="21"/>
    <cellStyle name="Berechnung" xfId="9" builtinId="22"/>
    <cellStyle name="Eingabe" xfId="3" builtinId="20"/>
    <cellStyle name="Ergebnis" xfId="5" builtinId="25"/>
    <cellStyle name="Gut" xfId="8" builtinId="26"/>
    <cellStyle name="Komma" xfId="1" builtinId="3"/>
    <cellStyle name="Link" xfId="7" builtinId="8"/>
    <cellStyle name="Prozent" xfId="2" builtinId="5"/>
    <cellStyle name="Schlecht" xfId="6" builtinId="27"/>
    <cellStyle name="Standard" xfId="0" builtinId="0"/>
    <cellStyle name="Standard 2" xfId="10"/>
  </cellStyles>
  <dxfs count="26">
    <dxf>
      <font>
        <color theme="1"/>
      </font>
      <numFmt numFmtId="168" formatCode="0.0%"/>
      <fill>
        <patternFill patternType="solid">
          <bgColor theme="0"/>
        </patternFill>
      </fill>
      <border>
        <left style="thin">
          <color auto="1"/>
        </left>
        <right style="thin">
          <color auto="1"/>
        </right>
        <top style="thin">
          <color auto="1"/>
        </top>
        <bottom style="thin">
          <color auto="1"/>
        </bottom>
        <vertical/>
        <horizontal/>
      </border>
    </dxf>
    <dxf>
      <font>
        <color theme="1"/>
      </font>
      <numFmt numFmtId="168" formatCode="0.0%"/>
      <fill>
        <patternFill>
          <bgColor theme="0" tint="-0.14996795556505021"/>
        </patternFill>
      </fill>
      <border>
        <left style="thin">
          <color auto="1"/>
        </left>
        <right style="thin">
          <color auto="1"/>
        </right>
        <top style="thin">
          <color auto="1"/>
        </top>
        <bottom style="thin">
          <color auto="1"/>
        </bottom>
        <vertical/>
        <horizontal/>
      </border>
    </dxf>
    <dxf>
      <font>
        <color theme="1"/>
      </font>
      <numFmt numFmtId="177" formatCode="#,##0.0"/>
      <fill>
        <patternFill>
          <bgColor theme="0"/>
        </patternFill>
      </fill>
      <border>
        <left style="thin">
          <color auto="1"/>
        </left>
        <right style="thin">
          <color auto="1"/>
        </right>
        <top style="thin">
          <color auto="1"/>
        </top>
        <bottom style="thin">
          <color auto="1"/>
        </bottom>
        <vertical/>
        <horizontal/>
      </border>
    </dxf>
    <dxf>
      <font>
        <color theme="1"/>
      </font>
      <numFmt numFmtId="177" formatCode="#,##0.0"/>
      <fill>
        <patternFill>
          <bgColor theme="0" tint="-0.14996795556505021"/>
        </patternFill>
      </fill>
      <border>
        <left style="thin">
          <color auto="1"/>
        </left>
        <right style="thin">
          <color auto="1"/>
        </right>
        <top style="thin">
          <color auto="1"/>
        </top>
        <bottom style="thin">
          <color auto="1"/>
        </bottom>
        <vertical/>
        <horizontal/>
      </border>
    </dxf>
    <dxf>
      <font>
        <color theme="4" tint="0.79998168889431442"/>
      </font>
    </dxf>
    <dxf>
      <fill>
        <patternFill>
          <bgColor rgb="FFFF9999"/>
        </patternFill>
      </fill>
    </dxf>
    <dxf>
      <font>
        <color theme="0" tint="-0.14996795556505021"/>
      </font>
      <fill>
        <patternFill>
          <bgColor theme="0" tint="-0.14996795556505021"/>
        </patternFill>
      </fill>
    </dxf>
    <dxf>
      <font>
        <color theme="4" tint="0.79998168889431442"/>
      </font>
      <fill>
        <patternFill>
          <bgColor theme="4" tint="0.79998168889431442"/>
        </patternFill>
      </fill>
      <border>
        <left/>
        <right/>
        <top style="thin">
          <color auto="1"/>
        </top>
        <bottom style="thin">
          <color auto="1"/>
        </bottom>
      </border>
    </dxf>
    <dxf>
      <fill>
        <patternFill>
          <bgColor theme="0"/>
        </patternFill>
      </fill>
    </dxf>
    <dxf>
      <font>
        <color theme="1"/>
      </font>
      <numFmt numFmtId="168" formatCode="0.0%"/>
      <fill>
        <patternFill>
          <bgColor theme="0" tint="-0.34998626667073579"/>
        </patternFill>
      </fill>
      <border>
        <left style="thin">
          <color auto="1"/>
        </left>
        <right style="thin">
          <color auto="1"/>
        </right>
        <top style="thin">
          <color auto="1"/>
        </top>
        <bottom style="thin">
          <color auto="1"/>
        </bottom>
        <vertical/>
        <horizontal/>
      </border>
    </dxf>
    <dxf>
      <font>
        <color theme="1"/>
      </font>
      <fill>
        <patternFill>
          <bgColor theme="4" tint="0.59996337778862885"/>
        </patternFill>
      </fill>
      <border>
        <left style="thin">
          <color auto="1"/>
        </left>
        <right style="thin">
          <color auto="1"/>
        </right>
        <top style="thin">
          <color auto="1"/>
        </top>
        <bottom style="thin">
          <color auto="1"/>
        </bottom>
        <vertical/>
        <horizontal/>
      </border>
    </dxf>
    <dxf>
      <font>
        <color theme="1"/>
      </font>
      <fill>
        <patternFill>
          <bgColor theme="4" tint="0.59996337778862885"/>
        </patternFill>
      </fill>
      <border>
        <left style="thin">
          <color auto="1"/>
        </left>
        <right style="thin">
          <color auto="1"/>
        </right>
        <top style="thin">
          <color auto="1"/>
        </top>
        <bottom style="thin">
          <color auto="1"/>
        </bottom>
        <vertical/>
        <horizontal/>
      </border>
    </dxf>
    <dxf>
      <font>
        <color theme="1"/>
      </font>
      <fill>
        <patternFill>
          <bgColor theme="4" tint="0.59996337778862885"/>
        </patternFill>
      </fill>
      <border>
        <left style="thin">
          <color auto="1"/>
        </left>
        <right style="thin">
          <color auto="1"/>
        </right>
        <top style="thin">
          <color auto="1"/>
        </top>
        <bottom style="thin">
          <color auto="1"/>
        </bottom>
      </border>
    </dxf>
    <dxf>
      <font>
        <color theme="1"/>
      </font>
      <fill>
        <patternFill>
          <bgColor theme="4" tint="0.59996337778862885"/>
        </patternFill>
      </fill>
      <border>
        <left style="thin">
          <color auto="1"/>
        </left>
        <right style="thin">
          <color auto="1"/>
        </right>
        <top style="thin">
          <color auto="1"/>
        </top>
        <bottom style="thin">
          <color auto="1"/>
        </bottom>
      </border>
    </dxf>
    <dxf>
      <font>
        <color theme="1"/>
      </font>
      <numFmt numFmtId="168" formatCode="0.0%"/>
      <fill>
        <patternFill patternType="none">
          <bgColor auto="1"/>
        </patternFill>
      </fill>
      <border>
        <left style="thin">
          <color auto="1"/>
        </left>
        <right style="thin">
          <color auto="1"/>
        </right>
        <top style="thin">
          <color auto="1"/>
        </top>
        <bottom style="thin">
          <color auto="1"/>
        </bottom>
        <vertical/>
        <horizontal/>
      </border>
    </dxf>
    <dxf>
      <fill>
        <patternFill patternType="none">
          <bgColor auto="1"/>
        </patternFill>
      </fill>
      <border>
        <left style="thin">
          <color auto="1"/>
        </left>
        <right style="thin">
          <color auto="1"/>
        </right>
        <top style="thin">
          <color auto="1"/>
        </top>
        <bottom style="thin">
          <color auto="1"/>
        </bottom>
        <vertical/>
        <horizontal/>
      </border>
    </dxf>
    <dxf>
      <fill>
        <patternFill>
          <bgColor rgb="FFFF9999"/>
        </patternFill>
      </fill>
      <border>
        <left style="thin">
          <color auto="1"/>
        </left>
        <right style="thin">
          <color auto="1"/>
        </right>
        <top style="thin">
          <color auto="1"/>
        </top>
        <bottom style="thin">
          <color auto="1"/>
        </bottom>
      </border>
    </dxf>
    <dxf>
      <fill>
        <patternFill>
          <bgColor theme="4" tint="0.59996337778862885"/>
        </patternFill>
      </fill>
      <border>
        <left style="thin">
          <color auto="1"/>
        </left>
        <right style="thin">
          <color auto="1"/>
        </right>
        <top style="thin">
          <color auto="1"/>
        </top>
        <bottom style="thin">
          <color auto="1"/>
        </bottom>
        <vertical/>
        <horizontal/>
      </border>
    </dxf>
    <dxf>
      <fill>
        <patternFill>
          <bgColor rgb="FFFF9999"/>
        </patternFill>
      </fill>
    </dxf>
    <dxf>
      <fill>
        <patternFill>
          <bgColor rgb="FFFF9999"/>
        </patternFill>
      </fill>
    </dxf>
    <dxf>
      <fill>
        <patternFill>
          <bgColor rgb="FFFF9999"/>
        </patternFill>
      </fill>
    </dxf>
    <dxf>
      <font>
        <color theme="4" tint="0.79998168889431442"/>
      </font>
    </dxf>
    <dxf>
      <font>
        <color theme="1"/>
      </font>
      <fill>
        <patternFill>
          <bgColor theme="4" tint="0.59996337778862885"/>
        </patternFill>
      </fill>
      <border>
        <left style="thin">
          <color auto="1"/>
        </left>
        <right style="thin">
          <color auto="1"/>
        </right>
        <top style="thin">
          <color auto="1"/>
        </top>
        <bottom style="thin">
          <color auto="1"/>
        </bottom>
      </border>
    </dxf>
    <dxf>
      <font>
        <color theme="1"/>
      </font>
      <fill>
        <patternFill>
          <bgColor theme="4" tint="0.59996337778862885"/>
        </patternFill>
      </fill>
      <border>
        <left style="thin">
          <color auto="1"/>
        </left>
        <right style="thin">
          <color auto="1"/>
        </right>
        <top style="thin">
          <color auto="1"/>
        </top>
        <bottom style="thin">
          <color auto="1"/>
        </bottom>
      </border>
    </dxf>
    <dxf>
      <font>
        <color theme="1"/>
      </font>
      <fill>
        <patternFill>
          <bgColor theme="0"/>
        </patternFill>
      </fill>
      <border>
        <left style="thin">
          <color auto="1"/>
        </left>
        <right style="thin">
          <color auto="1"/>
        </right>
        <top style="thin">
          <color auto="1"/>
        </top>
        <bottom style="thin">
          <color auto="1"/>
        </bottom>
        <vertical/>
        <horizontal/>
      </border>
    </dxf>
    <dxf>
      <font>
        <color theme="1"/>
      </font>
      <fill>
        <patternFill patternType="solid">
          <bgColor theme="0" tint="-0.14996795556505021"/>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9999"/>
      <color rgb="FFDFEEFD"/>
      <color rgb="FFFF7C80"/>
      <color rgb="FFCCECFF"/>
      <color rgb="FF4CB0EE"/>
      <color rgb="FFA0E8F6"/>
      <color rgb="FF5FD7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Tabelle1!$O$2" fmlaRange="Tabelle1!$N$3:$N$4" noThreeD="1" sel="1" val="0"/>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Drop" dropLines="3" dropStyle="combo" dx="16" fmlaLink="Tabelle1!$AJ$2" fmlaRange="Tabelle1!$AK$2:$AK$4" noThreeD="1" sel="1" val="0"/>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Drop" dropLines="2" dropStyle="combo" dx="16" fmlaLink="Tabelle1!$T$84" fmlaRange="Tabelle1!$M$12:$M$13" noThreeD="1" sel="1" val="0"/>
</file>

<file path=xl/ctrlProps/ctrlProp7.xml><?xml version="1.0" encoding="utf-8"?>
<formControlPr xmlns="http://schemas.microsoft.com/office/spreadsheetml/2009/9/main" objectType="Drop" dropLines="3" dropStyle="combo" dx="16" fmlaLink="Tabelle1!$A$17" fmlaRange="Tabelle1!$I$12:$I$14" noThreeD="1" sel="1" val="0"/>
</file>

<file path=xl/ctrlProps/ctrlProp8.xml><?xml version="1.0" encoding="utf-8"?>
<formControlPr xmlns="http://schemas.microsoft.com/office/spreadsheetml/2009/9/main" objectType="Drop" dropLines="9" dropStyle="combo" dx="16" fmlaLink="Tabelle1!$H$17" fmlaRange="Tabelle1!$M$16:$M$24" noThreeD="1" sel="9" val="0"/>
</file>

<file path=xl/ctrlProps/ctrlProp9.xml><?xml version="1.0" encoding="utf-8"?>
<formControlPr xmlns="http://schemas.microsoft.com/office/spreadsheetml/2009/9/main" objectType="Drop" dropStyle="combo" dx="16" fmlaLink="Tabelle1!$J$16" fmlaRange="Tabelle1!$I$16:$I$17" noThreeD="1" sel="2" val="0"/>
</file>

<file path=xl/drawings/drawing1.xml><?xml version="1.0" encoding="utf-8"?>
<xdr:wsDr xmlns:xdr="http://schemas.openxmlformats.org/drawingml/2006/spreadsheetDrawing" xmlns:a="http://schemas.openxmlformats.org/drawingml/2006/main">
  <xdr:twoCellAnchor>
    <xdr:from>
      <xdr:col>6</xdr:col>
      <xdr:colOff>28575</xdr:colOff>
      <xdr:row>4</xdr:row>
      <xdr:rowOff>206440</xdr:rowOff>
    </xdr:from>
    <xdr:to>
      <xdr:col>11</xdr:col>
      <xdr:colOff>619124</xdr:colOff>
      <xdr:row>7</xdr:row>
      <xdr:rowOff>647700</xdr:rowOff>
    </xdr:to>
    <xdr:grpSp>
      <xdr:nvGrpSpPr>
        <xdr:cNvPr id="2" name="Gruppieren 1"/>
        <xdr:cNvGrpSpPr/>
      </xdr:nvGrpSpPr>
      <xdr:grpSpPr>
        <a:xfrm>
          <a:off x="4838700" y="1120840"/>
          <a:ext cx="5038724" cy="2412935"/>
          <a:chOff x="-397906" y="212090"/>
          <a:chExt cx="6571865" cy="1892434"/>
        </a:xfrm>
      </xdr:grpSpPr>
      <xdr:sp macro="" textlink="">
        <xdr:nvSpPr>
          <xdr:cNvPr id="3" name="Rechteck 2"/>
          <xdr:cNvSpPr/>
        </xdr:nvSpPr>
        <xdr:spPr>
          <a:xfrm>
            <a:off x="2194901" y="817059"/>
            <a:ext cx="1476103" cy="432000"/>
          </a:xfrm>
          <a:prstGeom prst="rect">
            <a:avLst/>
          </a:prstGeom>
          <a:noFill/>
          <a:ln w="25400" cap="flat" cmpd="sng" algn="ctr">
            <a:solidFill>
              <a:schemeClr val="accent1"/>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de-DE" sz="1000" kern="1200">
                <a:solidFill>
                  <a:srgbClr val="000000"/>
                </a:solidFill>
                <a:effectLst/>
                <a:latin typeface="Arial" panose="020B0604020202020204" pitchFamily="34" charset="0"/>
                <a:ea typeface="Times New Roman" panose="02020603050405020304" pitchFamily="18" charset="0"/>
              </a:rPr>
              <a:t>KWK-Anlage</a:t>
            </a:r>
            <a:endParaRPr lang="de-DE" sz="1000">
              <a:effectLst/>
              <a:latin typeface="Times New Roman" panose="02020603050405020304" pitchFamily="18" charset="0"/>
              <a:ea typeface="Times New Roman" panose="02020603050405020304" pitchFamily="18" charset="0"/>
            </a:endParaRPr>
          </a:p>
        </xdr:txBody>
      </xdr:sp>
      <xdr:sp macro="" textlink="">
        <xdr:nvSpPr>
          <xdr:cNvPr id="4" name="Rechteck 3"/>
          <xdr:cNvSpPr/>
        </xdr:nvSpPr>
        <xdr:spPr>
          <a:xfrm>
            <a:off x="2207737" y="1465131"/>
            <a:ext cx="1476103" cy="432000"/>
          </a:xfrm>
          <a:prstGeom prst="rect">
            <a:avLst/>
          </a:prstGeom>
          <a:noFill/>
          <a:ln w="25400" cap="flat" cmpd="sng" algn="ctr">
            <a:solidFill>
              <a:schemeClr val="accent1"/>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de-DE" sz="1000" kern="1200">
                <a:solidFill>
                  <a:srgbClr val="000000"/>
                </a:solidFill>
                <a:effectLst/>
                <a:latin typeface="Arial" panose="020B0604020202020204" pitchFamily="34" charset="0"/>
                <a:ea typeface="Times New Roman" panose="02020603050405020304" pitchFamily="18" charset="0"/>
              </a:rPr>
              <a:t>Spitzelast-wärmeerzeuger</a:t>
            </a:r>
            <a:endParaRPr lang="de-DE" sz="1000">
              <a:effectLst/>
              <a:latin typeface="Times New Roman" panose="02020603050405020304" pitchFamily="18" charset="0"/>
              <a:ea typeface="Times New Roman" panose="02020603050405020304" pitchFamily="18" charset="0"/>
            </a:endParaRPr>
          </a:p>
        </xdr:txBody>
      </xdr:sp>
      <xdr:sp macro="" textlink="">
        <xdr:nvSpPr>
          <xdr:cNvPr id="5" name="Ellipse 4"/>
          <xdr:cNvSpPr/>
        </xdr:nvSpPr>
        <xdr:spPr>
          <a:xfrm>
            <a:off x="4980853" y="958360"/>
            <a:ext cx="1193106" cy="828092"/>
          </a:xfrm>
          <a:prstGeom prst="ellipse">
            <a:avLst/>
          </a:prstGeom>
          <a:noFill/>
          <a:ln w="76200" cap="flat" cmpd="dbl" algn="ctr">
            <a:solidFill>
              <a:schemeClr val="accent1"/>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6" name="Gerade Verbindung mit Pfeil 5"/>
          <xdr:cNvCxnSpPr/>
        </xdr:nvCxnSpPr>
        <xdr:spPr>
          <a:xfrm>
            <a:off x="1565737" y="1699157"/>
            <a:ext cx="612000" cy="0"/>
          </a:xfrm>
          <a:prstGeom prst="straightConnector1">
            <a:avLst/>
          </a:prstGeom>
          <a:noFill/>
          <a:ln w="38100" cap="flat" cmpd="sng" algn="ctr">
            <a:solidFill>
              <a:sysClr val="windowText" lastClr="000000"/>
            </a:solidFill>
            <a:prstDash val="solid"/>
            <a:tailEnd type="triangle"/>
          </a:ln>
          <a:effectLst/>
        </xdr:spPr>
      </xdr:cxnSp>
      <xdr:cxnSp macro="">
        <xdr:nvCxnSpPr>
          <xdr:cNvPr id="7" name="Gerade Verbindung mit Pfeil 6"/>
          <xdr:cNvCxnSpPr/>
        </xdr:nvCxnSpPr>
        <xdr:spPr>
          <a:xfrm>
            <a:off x="1540066" y="1051085"/>
            <a:ext cx="612000" cy="0"/>
          </a:xfrm>
          <a:prstGeom prst="straightConnector1">
            <a:avLst/>
          </a:prstGeom>
          <a:noFill/>
          <a:ln w="38100" cap="flat" cmpd="sng" algn="ctr">
            <a:solidFill>
              <a:sysClr val="windowText" lastClr="000000">
                <a:lumMod val="95000"/>
                <a:lumOff val="5000"/>
              </a:sysClr>
            </a:solidFill>
            <a:prstDash val="solid"/>
            <a:tailEnd type="triangle"/>
          </a:ln>
          <a:effectLst/>
        </xdr:spPr>
      </xdr:cxnSp>
      <xdr:sp macro="" textlink="">
        <xdr:nvSpPr>
          <xdr:cNvPr id="8" name="Textfeld 21"/>
          <xdr:cNvSpPr txBox="1"/>
        </xdr:nvSpPr>
        <xdr:spPr>
          <a:xfrm>
            <a:off x="3606699" y="767990"/>
            <a:ext cx="1245187" cy="200149"/>
          </a:xfrm>
          <a:prstGeom prst="rect">
            <a:avLst/>
          </a:prstGeom>
          <a:noFill/>
        </xdr:spPr>
        <xdr:txBody>
          <a:bodyPr wrap="square" rtlCol="0">
            <a:spAutoFit/>
          </a:bodyPr>
          <a:lstStyle/>
          <a:p>
            <a:pPr>
              <a:spcAft>
                <a:spcPts val="0"/>
              </a:spcAft>
            </a:pPr>
            <a:r>
              <a:rPr lang="de-DE" sz="1100" b="1" kern="1200">
                <a:solidFill>
                  <a:srgbClr val="000000"/>
                </a:solidFill>
                <a:effectLst/>
                <a:latin typeface="Arial" panose="020B0604020202020204" pitchFamily="34" charset="0"/>
                <a:ea typeface="Times New Roman" panose="02020603050405020304" pitchFamily="18" charset="0"/>
              </a:rPr>
              <a:t>Q</a:t>
            </a:r>
            <a:r>
              <a:rPr lang="de-DE" sz="1100" b="1" kern="1200" baseline="-25000">
                <a:solidFill>
                  <a:srgbClr val="000000"/>
                </a:solidFill>
                <a:effectLst/>
                <a:latin typeface="Arial" panose="020B0604020202020204" pitchFamily="34" charset="0"/>
                <a:ea typeface="Times New Roman" panose="02020603050405020304" pitchFamily="18" charset="0"/>
              </a:rPr>
              <a:t>outg,CHP,a</a:t>
            </a:r>
            <a:endParaRPr lang="de-DE" sz="1100">
              <a:effectLst/>
              <a:latin typeface="Times New Roman" panose="02020603050405020304" pitchFamily="18" charset="0"/>
              <a:ea typeface="Times New Roman" panose="02020603050405020304" pitchFamily="18" charset="0"/>
            </a:endParaRPr>
          </a:p>
        </xdr:txBody>
      </xdr:sp>
      <xdr:sp macro="" textlink="">
        <xdr:nvSpPr>
          <xdr:cNvPr id="9" name="Textfeld 22"/>
          <xdr:cNvSpPr txBox="1"/>
        </xdr:nvSpPr>
        <xdr:spPr>
          <a:xfrm>
            <a:off x="3645339" y="1682806"/>
            <a:ext cx="1155203" cy="373594"/>
          </a:xfrm>
          <a:prstGeom prst="rect">
            <a:avLst/>
          </a:prstGeom>
          <a:noFill/>
        </xdr:spPr>
        <xdr:txBody>
          <a:bodyPr wrap="square" rtlCol="0">
            <a:spAutoFit/>
          </a:bodyPr>
          <a:lstStyle/>
          <a:p>
            <a:pPr>
              <a:spcAft>
                <a:spcPts val="0"/>
              </a:spcAft>
            </a:pPr>
            <a:r>
              <a:rPr lang="de-DE" sz="1100" b="1" kern="1200">
                <a:solidFill>
                  <a:srgbClr val="000000"/>
                </a:solidFill>
                <a:effectLst/>
                <a:latin typeface="Arial" panose="020B0604020202020204" pitchFamily="34" charset="0"/>
                <a:ea typeface="Times New Roman" panose="02020603050405020304" pitchFamily="18" charset="0"/>
              </a:rPr>
              <a:t>Q</a:t>
            </a:r>
            <a:r>
              <a:rPr lang="de-DE" sz="1100" b="1" kern="1200" baseline="-25000">
                <a:solidFill>
                  <a:srgbClr val="000000"/>
                </a:solidFill>
                <a:effectLst/>
                <a:latin typeface="Arial" panose="020B0604020202020204" pitchFamily="34" charset="0"/>
                <a:ea typeface="Times New Roman" panose="02020603050405020304" pitchFamily="18" charset="0"/>
              </a:rPr>
              <a:t>outg,HP,a</a:t>
            </a:r>
          </a:p>
          <a:p>
            <a:pPr>
              <a:spcAft>
                <a:spcPts val="0"/>
              </a:spcAft>
            </a:pPr>
            <a:endParaRPr lang="de-DE" sz="500" b="1" kern="1200" baseline="-25000">
              <a:solidFill>
                <a:srgbClr val="000000"/>
              </a:solidFill>
              <a:effectLst/>
              <a:latin typeface="Arial" panose="020B0604020202020204" pitchFamily="34" charset="0"/>
              <a:ea typeface="Times New Roman" panose="02020603050405020304" pitchFamily="18" charset="0"/>
            </a:endParaRPr>
          </a:p>
          <a:p>
            <a:pPr>
              <a:spcAft>
                <a:spcPts val="0"/>
              </a:spcAft>
            </a:pPr>
            <a:r>
              <a:rPr lang="de-DE" sz="1000" b="0" kern="1200" baseline="0">
                <a:solidFill>
                  <a:srgbClr val="000000"/>
                </a:solidFill>
                <a:effectLst/>
                <a:latin typeface="Arial" panose="020B0604020202020204" pitchFamily="34" charset="0"/>
                <a:ea typeface="Times New Roman" panose="02020603050405020304" pitchFamily="18" charset="0"/>
              </a:rPr>
              <a:t>(Wärme)</a:t>
            </a:r>
            <a:endParaRPr lang="de-DE" sz="1000" b="0" baseline="0">
              <a:effectLst/>
              <a:latin typeface="Times New Roman" panose="02020603050405020304" pitchFamily="18" charset="0"/>
              <a:ea typeface="Times New Roman" panose="02020603050405020304" pitchFamily="18" charset="0"/>
            </a:endParaRPr>
          </a:p>
        </xdr:txBody>
      </xdr:sp>
      <xdr:sp macro="" textlink="">
        <xdr:nvSpPr>
          <xdr:cNvPr id="10" name="Textfeld 23"/>
          <xdr:cNvSpPr txBox="1"/>
        </xdr:nvSpPr>
        <xdr:spPr>
          <a:xfrm>
            <a:off x="4751075" y="1249861"/>
            <a:ext cx="803275" cy="200149"/>
          </a:xfrm>
          <a:prstGeom prst="rect">
            <a:avLst/>
          </a:prstGeom>
          <a:solidFill>
            <a:schemeClr val="accent1">
              <a:lumMod val="20000"/>
              <a:lumOff val="80000"/>
            </a:schemeClr>
          </a:solidFill>
        </xdr:spPr>
        <xdr:txBody>
          <a:bodyPr wrap="square" rtlCol="0">
            <a:spAutoFit/>
          </a:bodyPr>
          <a:lstStyle/>
          <a:p>
            <a:pPr>
              <a:spcAft>
                <a:spcPts val="0"/>
              </a:spcAft>
            </a:pPr>
            <a:r>
              <a:rPr lang="de-DE" sz="1100" b="1" kern="1200">
                <a:solidFill>
                  <a:srgbClr val="000000"/>
                </a:solidFill>
                <a:effectLst/>
                <a:latin typeface="Arial" panose="020B0604020202020204" pitchFamily="34" charset="0"/>
                <a:ea typeface="Times New Roman" panose="02020603050405020304" pitchFamily="18" charset="0"/>
              </a:rPr>
              <a:t>Q</a:t>
            </a:r>
            <a:r>
              <a:rPr lang="de-DE" sz="1100" b="1" kern="1200" baseline="-25000">
                <a:solidFill>
                  <a:srgbClr val="000000"/>
                </a:solidFill>
                <a:effectLst/>
                <a:latin typeface="Arial" panose="020B0604020202020204" pitchFamily="34" charset="0"/>
                <a:ea typeface="Times New Roman" panose="02020603050405020304" pitchFamily="18" charset="0"/>
              </a:rPr>
              <a:t>outg,a</a:t>
            </a:r>
            <a:endParaRPr lang="de-DE" sz="1100">
              <a:effectLst/>
              <a:latin typeface="Times New Roman" panose="02020603050405020304" pitchFamily="18" charset="0"/>
              <a:ea typeface="Times New Roman" panose="02020603050405020304" pitchFamily="18" charset="0"/>
            </a:endParaRPr>
          </a:p>
        </xdr:txBody>
      </xdr:sp>
      <xdr:sp macro="" textlink="">
        <xdr:nvSpPr>
          <xdr:cNvPr id="11" name="Textfeld 24"/>
          <xdr:cNvSpPr txBox="1"/>
        </xdr:nvSpPr>
        <xdr:spPr>
          <a:xfrm>
            <a:off x="1442513" y="1736521"/>
            <a:ext cx="969646" cy="200149"/>
          </a:xfrm>
          <a:prstGeom prst="rect">
            <a:avLst/>
          </a:prstGeom>
          <a:noFill/>
        </xdr:spPr>
        <xdr:txBody>
          <a:bodyPr wrap="square" rtlCol="0">
            <a:spAutoFit/>
          </a:bodyPr>
          <a:lstStyle/>
          <a:p>
            <a:pPr>
              <a:spcAft>
                <a:spcPts val="0"/>
              </a:spcAft>
            </a:pPr>
            <a:r>
              <a:rPr lang="de-DE" sz="1100" b="1" kern="1200">
                <a:solidFill>
                  <a:srgbClr val="000000"/>
                </a:solidFill>
                <a:effectLst/>
                <a:latin typeface="Arial" panose="020B0604020202020204" pitchFamily="34" charset="0"/>
                <a:ea typeface="Times New Roman" panose="02020603050405020304" pitchFamily="18" charset="0"/>
              </a:rPr>
              <a:t>Q</a:t>
            </a:r>
            <a:r>
              <a:rPr lang="de-DE" sz="1100" b="1" kern="1200" baseline="-25000">
                <a:solidFill>
                  <a:srgbClr val="000000"/>
                </a:solidFill>
                <a:effectLst/>
                <a:latin typeface="Arial" panose="020B0604020202020204" pitchFamily="34" charset="0"/>
                <a:ea typeface="Times New Roman" panose="02020603050405020304" pitchFamily="18" charset="0"/>
              </a:rPr>
              <a:t>f,HP,a</a:t>
            </a:r>
            <a:endParaRPr lang="de-DE" sz="1100">
              <a:effectLst/>
              <a:latin typeface="Times New Roman" panose="02020603050405020304" pitchFamily="18" charset="0"/>
              <a:ea typeface="Times New Roman" panose="02020603050405020304" pitchFamily="18" charset="0"/>
            </a:endParaRPr>
          </a:p>
        </xdr:txBody>
      </xdr:sp>
      <xdr:sp macro="" textlink="">
        <xdr:nvSpPr>
          <xdr:cNvPr id="12" name="Textfeld 25"/>
          <xdr:cNvSpPr txBox="1"/>
        </xdr:nvSpPr>
        <xdr:spPr>
          <a:xfrm>
            <a:off x="1371818" y="784758"/>
            <a:ext cx="970280" cy="200149"/>
          </a:xfrm>
          <a:prstGeom prst="rect">
            <a:avLst/>
          </a:prstGeom>
          <a:noFill/>
        </xdr:spPr>
        <xdr:txBody>
          <a:bodyPr wrap="square" rtlCol="0">
            <a:spAutoFit/>
          </a:bodyPr>
          <a:lstStyle/>
          <a:p>
            <a:pPr>
              <a:spcAft>
                <a:spcPts val="0"/>
              </a:spcAft>
            </a:pPr>
            <a:r>
              <a:rPr lang="de-DE" sz="1100" b="1" kern="1200">
                <a:solidFill>
                  <a:srgbClr val="000000"/>
                </a:solidFill>
                <a:effectLst/>
                <a:latin typeface="Arial" panose="020B0604020202020204" pitchFamily="34" charset="0"/>
                <a:ea typeface="Times New Roman" panose="02020603050405020304" pitchFamily="18" charset="0"/>
              </a:rPr>
              <a:t>Q</a:t>
            </a:r>
            <a:r>
              <a:rPr lang="de-DE" sz="1100" b="1" kern="1200" baseline="-25000">
                <a:solidFill>
                  <a:srgbClr val="000000"/>
                </a:solidFill>
                <a:effectLst/>
                <a:latin typeface="Arial" panose="020B0604020202020204" pitchFamily="34" charset="0"/>
                <a:ea typeface="Times New Roman" panose="02020603050405020304" pitchFamily="18" charset="0"/>
              </a:rPr>
              <a:t>f,CHP,a</a:t>
            </a:r>
            <a:endParaRPr lang="de-DE" sz="1100">
              <a:effectLst/>
              <a:latin typeface="Times New Roman" panose="02020603050405020304" pitchFamily="18" charset="0"/>
              <a:ea typeface="Times New Roman" panose="02020603050405020304" pitchFamily="18" charset="0"/>
            </a:endParaRPr>
          </a:p>
        </xdr:txBody>
      </xdr:sp>
      <xdr:cxnSp macro="">
        <xdr:nvCxnSpPr>
          <xdr:cNvPr id="13" name="Gerade Verbindung mit Pfeil 12"/>
          <xdr:cNvCxnSpPr/>
        </xdr:nvCxnSpPr>
        <xdr:spPr>
          <a:xfrm flipV="1">
            <a:off x="3233315" y="254687"/>
            <a:ext cx="0" cy="540000"/>
          </a:xfrm>
          <a:prstGeom prst="straightConnector1">
            <a:avLst/>
          </a:prstGeom>
          <a:noFill/>
          <a:ln w="38100" cap="flat" cmpd="sng" algn="ctr">
            <a:solidFill>
              <a:srgbClr val="FFFF00"/>
            </a:solidFill>
            <a:prstDash val="solid"/>
            <a:tailEnd type="triangle"/>
          </a:ln>
          <a:effectLst/>
        </xdr:spPr>
      </xdr:cxnSp>
      <xdr:sp macro="" textlink="">
        <xdr:nvSpPr>
          <xdr:cNvPr id="14" name="Textfeld 28"/>
          <xdr:cNvSpPr txBox="1"/>
        </xdr:nvSpPr>
        <xdr:spPr>
          <a:xfrm>
            <a:off x="3198384" y="324645"/>
            <a:ext cx="1217089" cy="373594"/>
          </a:xfrm>
          <a:prstGeom prst="rect">
            <a:avLst/>
          </a:prstGeom>
          <a:noFill/>
        </xdr:spPr>
        <xdr:txBody>
          <a:bodyPr wrap="square" rtlCol="0">
            <a:spAutoFit/>
          </a:bodyPr>
          <a:lstStyle/>
          <a:p>
            <a:pPr>
              <a:spcAft>
                <a:spcPts val="0"/>
              </a:spcAft>
            </a:pPr>
            <a:r>
              <a:rPr lang="de-DE" sz="1100" b="1" kern="1200">
                <a:solidFill>
                  <a:srgbClr val="000000"/>
                </a:solidFill>
                <a:effectLst/>
                <a:latin typeface="Arial" panose="020B0604020202020204" pitchFamily="34" charset="0"/>
                <a:ea typeface="Times New Roman" panose="02020603050405020304" pitchFamily="18" charset="0"/>
              </a:rPr>
              <a:t>Q</a:t>
            </a:r>
            <a:r>
              <a:rPr lang="de-DE" sz="1100" b="1" kern="1200" baseline="-25000">
                <a:solidFill>
                  <a:srgbClr val="000000"/>
                </a:solidFill>
                <a:effectLst/>
                <a:latin typeface="Arial" panose="020B0604020202020204" pitchFamily="34" charset="0"/>
                <a:ea typeface="Times New Roman" panose="02020603050405020304" pitchFamily="18" charset="0"/>
              </a:rPr>
              <a:t>f,prod,CHP,a</a:t>
            </a:r>
          </a:p>
          <a:p>
            <a:pPr>
              <a:spcAft>
                <a:spcPts val="0"/>
              </a:spcAft>
            </a:pPr>
            <a:endParaRPr lang="de-DE" sz="500" b="1" kern="1200" baseline="-25000">
              <a:solidFill>
                <a:srgbClr val="000000"/>
              </a:solidFill>
              <a:effectLst/>
              <a:latin typeface="Arial" panose="020B0604020202020204" pitchFamily="34" charset="0"/>
              <a:ea typeface="Times New Roman" panose="02020603050405020304" pitchFamily="18" charset="0"/>
            </a:endParaRPr>
          </a:p>
          <a:p>
            <a:pPr>
              <a:spcAft>
                <a:spcPts val="0"/>
              </a:spcAft>
            </a:pPr>
            <a:r>
              <a:rPr lang="de-DE" sz="1000" b="0" kern="1200" baseline="0">
                <a:solidFill>
                  <a:srgbClr val="000000"/>
                </a:solidFill>
                <a:effectLst/>
                <a:latin typeface="Arial" panose="020B0604020202020204" pitchFamily="34" charset="0"/>
                <a:ea typeface="Times New Roman" panose="02020603050405020304" pitchFamily="18" charset="0"/>
              </a:rPr>
              <a:t>(Strom)</a:t>
            </a:r>
            <a:endParaRPr lang="de-DE" sz="1000" b="0" baseline="0">
              <a:effectLst/>
              <a:latin typeface="Times New Roman" panose="02020603050405020304" pitchFamily="18" charset="0"/>
              <a:ea typeface="Times New Roman" panose="02020603050405020304" pitchFamily="18" charset="0"/>
            </a:endParaRPr>
          </a:p>
        </xdr:txBody>
      </xdr:sp>
      <xdr:sp macro="" textlink="">
        <xdr:nvSpPr>
          <xdr:cNvPr id="15" name="Textfeld 29"/>
          <xdr:cNvSpPr txBox="1"/>
        </xdr:nvSpPr>
        <xdr:spPr>
          <a:xfrm>
            <a:off x="4930036" y="433464"/>
            <a:ext cx="1149125" cy="419860"/>
          </a:xfrm>
          <a:prstGeom prst="rect">
            <a:avLst/>
          </a:prstGeom>
          <a:noFill/>
        </xdr:spPr>
        <xdr:txBody>
          <a:bodyPr wrap="square" rtlCol="0">
            <a:spAutoFit/>
          </a:bodyPr>
          <a:lstStyle/>
          <a:p>
            <a:pPr algn="ctr">
              <a:spcAft>
                <a:spcPts val="0"/>
              </a:spcAft>
            </a:pPr>
            <a:r>
              <a:rPr lang="de-DE" sz="1000" kern="1200">
                <a:solidFill>
                  <a:srgbClr val="000000"/>
                </a:solidFill>
                <a:effectLst/>
                <a:latin typeface="Arial" panose="020B0604020202020204" pitchFamily="34" charset="0"/>
                <a:ea typeface="Times New Roman" panose="02020603050405020304" pitchFamily="18" charset="0"/>
              </a:rPr>
              <a:t>Gebäude (Wärme-abnehmer)</a:t>
            </a:r>
            <a:endParaRPr lang="de-DE" sz="1000">
              <a:effectLst/>
              <a:latin typeface="Times New Roman" panose="02020603050405020304" pitchFamily="18" charset="0"/>
              <a:ea typeface="Times New Roman" panose="02020603050405020304" pitchFamily="18" charset="0"/>
            </a:endParaRPr>
          </a:p>
        </xdr:txBody>
      </xdr:sp>
      <xdr:sp macro="" textlink="">
        <xdr:nvSpPr>
          <xdr:cNvPr id="16" name="Rechteck 15"/>
          <xdr:cNvSpPr/>
        </xdr:nvSpPr>
        <xdr:spPr>
          <a:xfrm>
            <a:off x="1283568" y="214529"/>
            <a:ext cx="3516976" cy="1889995"/>
          </a:xfrm>
          <a:prstGeom prst="rect">
            <a:avLst/>
          </a:prstGeom>
          <a:noFill/>
          <a:ln w="28575" cap="flat" cmpd="sng" algn="ctr">
            <a:solidFill>
              <a:srgbClr val="00B050"/>
            </a:solidFill>
            <a:prstDash val="sysDash"/>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cxnSp macro="">
        <xdr:nvCxnSpPr>
          <xdr:cNvPr id="17" name="Gerader Verbinder 16"/>
          <xdr:cNvCxnSpPr/>
        </xdr:nvCxnSpPr>
        <xdr:spPr>
          <a:xfrm flipH="1">
            <a:off x="966026" y="328814"/>
            <a:ext cx="324036" cy="0"/>
          </a:xfrm>
          <a:prstGeom prst="line">
            <a:avLst/>
          </a:prstGeom>
          <a:noFill/>
          <a:ln w="28575" cap="flat" cmpd="sng" algn="ctr">
            <a:solidFill>
              <a:srgbClr val="00B050"/>
            </a:solidFill>
            <a:prstDash val="sysDash"/>
          </a:ln>
          <a:effectLst/>
        </xdr:spPr>
      </xdr:cxnSp>
      <xdr:sp macro="" textlink="">
        <xdr:nvSpPr>
          <xdr:cNvPr id="18" name="Textfeld 35"/>
          <xdr:cNvSpPr txBox="1"/>
        </xdr:nvSpPr>
        <xdr:spPr>
          <a:xfrm>
            <a:off x="-397906" y="212090"/>
            <a:ext cx="1459541" cy="419860"/>
          </a:xfrm>
          <a:prstGeom prst="rect">
            <a:avLst/>
          </a:prstGeom>
          <a:noFill/>
        </xdr:spPr>
        <xdr:txBody>
          <a:bodyPr wrap="square" rtlCol="0">
            <a:spAutoFit/>
          </a:bodyPr>
          <a:lstStyle/>
          <a:p>
            <a:pPr algn="ctr">
              <a:spcAft>
                <a:spcPts val="0"/>
              </a:spcAft>
            </a:pPr>
            <a:r>
              <a:rPr lang="de-DE" sz="1000" kern="1200">
                <a:solidFill>
                  <a:srgbClr val="000000"/>
                </a:solidFill>
                <a:effectLst/>
                <a:latin typeface="Arial" panose="020B0604020202020204" pitchFamily="34" charset="0"/>
                <a:ea typeface="Times New Roman" panose="02020603050405020304" pitchFamily="18" charset="0"/>
              </a:rPr>
              <a:t>Bilanzgrenze Primärenergie-faktor f</a:t>
            </a:r>
            <a:r>
              <a:rPr lang="de-DE" sz="1000" kern="1200" baseline="-25000">
                <a:solidFill>
                  <a:srgbClr val="000000"/>
                </a:solidFill>
                <a:effectLst/>
                <a:latin typeface="Arial" panose="020B0604020202020204" pitchFamily="34" charset="0"/>
                <a:ea typeface="Times New Roman" panose="02020603050405020304" pitchFamily="18" charset="0"/>
              </a:rPr>
              <a:t>p</a:t>
            </a:r>
            <a:endParaRPr lang="de-DE" sz="1000">
              <a:effectLst/>
              <a:latin typeface="Times New Roman" panose="02020603050405020304" pitchFamily="18" charset="0"/>
              <a:ea typeface="Times New Roman" panose="02020603050405020304" pitchFamily="18" charset="0"/>
            </a:endParaRPr>
          </a:p>
        </xdr:txBody>
      </xdr:sp>
      <xdr:cxnSp macro="">
        <xdr:nvCxnSpPr>
          <xdr:cNvPr id="19" name="Gewinkelte Verbindung 18"/>
          <xdr:cNvCxnSpPr>
            <a:stCxn id="3" idx="3"/>
            <a:endCxn id="4" idx="3"/>
          </xdr:cNvCxnSpPr>
        </xdr:nvCxnSpPr>
        <xdr:spPr>
          <a:xfrm>
            <a:off x="3671004" y="1033060"/>
            <a:ext cx="12836" cy="648071"/>
          </a:xfrm>
          <a:prstGeom prst="bentConnector3">
            <a:avLst>
              <a:gd name="adj1" fmla="val 4600000"/>
            </a:avLst>
          </a:prstGeom>
          <a:noFill/>
          <a:ln w="38100" cap="flat" cmpd="sng" algn="ctr">
            <a:solidFill>
              <a:srgbClr val="FF0000"/>
            </a:solidFill>
            <a:prstDash val="solid"/>
          </a:ln>
          <a:effectLst/>
        </xdr:spPr>
      </xdr:cxnSp>
      <xdr:cxnSp macro="">
        <xdr:nvCxnSpPr>
          <xdr:cNvPr id="20" name="Gerade Verbindung mit Pfeil 19"/>
          <xdr:cNvCxnSpPr/>
        </xdr:nvCxnSpPr>
        <xdr:spPr>
          <a:xfrm>
            <a:off x="4247076" y="1372406"/>
            <a:ext cx="503999" cy="0"/>
          </a:xfrm>
          <a:prstGeom prst="straightConnector1">
            <a:avLst/>
          </a:prstGeom>
          <a:noFill/>
          <a:ln w="38100" cap="flat" cmpd="sng" algn="ctr">
            <a:solidFill>
              <a:srgbClr val="FF0000"/>
            </a:solidFill>
            <a:prstDash val="solid"/>
            <a:tailEnd type="triangle"/>
          </a:ln>
          <a:effectLst/>
        </xdr:spPr>
      </xdr:cxnSp>
    </xdr:grpSp>
    <xdr:clientData/>
  </xdr:twoCellAnchor>
  <mc:AlternateContent xmlns:mc="http://schemas.openxmlformats.org/markup-compatibility/2006">
    <mc:Choice xmlns:a14="http://schemas.microsoft.com/office/drawing/2010/main" Requires="a14">
      <xdr:twoCellAnchor editAs="absolute">
        <xdr:from>
          <xdr:col>6</xdr:col>
          <xdr:colOff>514350</xdr:colOff>
          <xdr:row>12</xdr:row>
          <xdr:rowOff>504825</xdr:rowOff>
        </xdr:from>
        <xdr:to>
          <xdr:col>8</xdr:col>
          <xdr:colOff>133350</xdr:colOff>
          <xdr:row>13</xdr:row>
          <xdr:rowOff>323850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1438275</xdr:colOff>
          <xdr:row>13</xdr:row>
          <xdr:rowOff>0</xdr:rowOff>
        </xdr:from>
        <xdr:ext cx="1695450" cy="209550"/>
        <xdr:sp macro="" textlink="">
          <xdr:nvSpPr>
            <xdr:cNvPr id="2057" name="Button 9" descr="Brennstoffzellendaten löschen" hidden="1">
              <a:extLst>
                <a:ext uri="{63B3BB69-23CF-44E3-9099-C40C66FF867C}">
                  <a14:compatExt spid="_x0000_s2057"/>
                </a:ext>
              </a:extLst>
            </xdr:cNvPr>
            <xdr:cNvSpPr/>
          </xdr:nvSpPr>
          <xdr:spPr bwMode="auto">
            <a:xfrm>
              <a:off x="0" y="0"/>
              <a:ext cx="0" cy="0"/>
            </a:xfrm>
            <a:prstGeom prst="rect">
              <a:avLst/>
            </a:prstGeom>
            <a:noFill/>
            <a:ln w="9525">
              <a:miter lim="800000"/>
              <a:headEnd/>
              <a:tailEnd/>
            </a:ln>
          </xdr:spPr>
          <xdr:txBody>
            <a:bodyPr wrap="none" lIns="18288" tIns="22860" rIns="18288" bIns="22860" anchor="ctr" upright="1">
              <a:spAutoFit/>
            </a:bodyPr>
            <a:lstStyle/>
            <a:p>
              <a:pPr algn="ctr" rtl="0">
                <a:defRPr sz="1000"/>
              </a:pPr>
              <a:r>
                <a:rPr lang="de-DE" sz="1000" b="0" i="0" u="none" strike="noStrike" baseline="0">
                  <a:solidFill>
                    <a:srgbClr val="000000"/>
                  </a:solidFill>
                  <a:latin typeface="Constantia"/>
                </a:rPr>
                <a:t>Brennstoffzellendaten löschen</a:t>
              </a:r>
            </a:p>
          </xdr:txBody>
        </xdr:sp>
        <xdr:clientData fPrintsWithSheet="0"/>
      </xdr:oneCellAnchor>
    </mc:Choice>
    <mc:Fallback/>
  </mc:AlternateContent>
  <mc:AlternateContent xmlns:mc="http://schemas.openxmlformats.org/markup-compatibility/2006">
    <mc:Choice xmlns:a14="http://schemas.microsoft.com/office/drawing/2010/main" Requires="a14">
      <xdr:oneCellAnchor>
        <xdr:from>
          <xdr:col>5</xdr:col>
          <xdr:colOff>1628775</xdr:colOff>
          <xdr:row>8</xdr:row>
          <xdr:rowOff>104775</xdr:rowOff>
        </xdr:from>
        <xdr:ext cx="1209675" cy="209550"/>
        <xdr:sp macro="" textlink="">
          <xdr:nvSpPr>
            <xdr:cNvPr id="2066" name="Button 18" hidden="1">
              <a:extLst>
                <a:ext uri="{63B3BB69-23CF-44E3-9099-C40C66FF867C}">
                  <a14:compatExt spid="_x0000_s2066"/>
                </a:ext>
              </a:extLst>
            </xdr:cNvPr>
            <xdr:cNvSpPr/>
          </xdr:nvSpPr>
          <xdr:spPr bwMode="auto">
            <a:xfrm>
              <a:off x="0" y="0"/>
              <a:ext cx="0" cy="0"/>
            </a:xfrm>
            <a:prstGeom prst="rect">
              <a:avLst/>
            </a:prstGeom>
            <a:noFill/>
            <a:ln w="9525">
              <a:miter lim="800000"/>
              <a:headEnd/>
              <a:tailEnd/>
            </a:ln>
          </xdr:spPr>
          <xdr:txBody>
            <a:bodyPr wrap="none" lIns="18288" tIns="22860" rIns="18288" bIns="22860" anchor="ctr" upright="1">
              <a:spAutoFit/>
            </a:bodyPr>
            <a:lstStyle/>
            <a:p>
              <a:pPr algn="ctr" rtl="0">
                <a:defRPr sz="1000"/>
              </a:pPr>
              <a:r>
                <a:rPr lang="de-DE" sz="1000" b="0" i="0" u="none" strike="noStrike" baseline="0">
                  <a:solidFill>
                    <a:srgbClr val="000000"/>
                  </a:solidFill>
                  <a:latin typeface="Arial"/>
                  <a:cs typeface="Arial"/>
                </a:rPr>
                <a:t>Projektdaten löschen</a:t>
              </a:r>
            </a:p>
          </xdr:txBody>
        </xdr:sp>
        <xdr:clientData fPrintsWithSheet="0"/>
      </xdr:oneCellAnchor>
    </mc:Choice>
    <mc:Fallback/>
  </mc:AlternateContent>
  <mc:AlternateContent xmlns:mc="http://schemas.openxmlformats.org/markup-compatibility/2006">
    <mc:Choice xmlns:a14="http://schemas.microsoft.com/office/drawing/2010/main" Requires="a14">
      <xdr:oneCellAnchor>
        <xdr:from>
          <xdr:col>3</xdr:col>
          <xdr:colOff>180975</xdr:colOff>
          <xdr:row>13</xdr:row>
          <xdr:rowOff>0</xdr:rowOff>
        </xdr:from>
        <xdr:ext cx="1257300" cy="209550"/>
        <xdr:sp macro="" textlink="">
          <xdr:nvSpPr>
            <xdr:cNvPr id="2067" name="Button 19" hidden="1">
              <a:extLst>
                <a:ext uri="{63B3BB69-23CF-44E3-9099-C40C66FF867C}">
                  <a14:compatExt spid="_x0000_s2067"/>
                </a:ext>
              </a:extLst>
            </xdr:cNvPr>
            <xdr:cNvSpPr/>
          </xdr:nvSpPr>
          <xdr:spPr bwMode="auto">
            <a:xfrm>
              <a:off x="0" y="0"/>
              <a:ext cx="0" cy="0"/>
            </a:xfrm>
            <a:prstGeom prst="rect">
              <a:avLst/>
            </a:prstGeom>
            <a:noFill/>
            <a:ln w="9525">
              <a:miter lim="800000"/>
              <a:headEnd/>
              <a:tailEnd/>
            </a:ln>
          </xdr:spPr>
          <xdr:txBody>
            <a:bodyPr wrap="none" lIns="18288" tIns="22860" rIns="18288" bIns="22860" anchor="ctr" upright="1">
              <a:spAutoFit/>
            </a:bodyPr>
            <a:lstStyle/>
            <a:p>
              <a:pPr algn="ctr" rtl="0">
                <a:defRPr sz="1000"/>
              </a:pPr>
              <a:r>
                <a:rPr lang="de-DE" sz="1000" b="0" i="0" u="none" strike="noStrike" baseline="0">
                  <a:solidFill>
                    <a:srgbClr val="000000"/>
                  </a:solidFill>
                  <a:latin typeface="Constantia"/>
                </a:rPr>
                <a:t>Gebäudedaten löschen</a:t>
              </a:r>
            </a:p>
          </xdr:txBody>
        </xdr:sp>
        <xdr:clientData fPrintsWithSheet="0"/>
      </xdr:oneCellAnchor>
    </mc:Choice>
    <mc:Fallback/>
  </mc:AlternateContent>
  <mc:AlternateContent xmlns:mc="http://schemas.openxmlformats.org/markup-compatibility/2006">
    <mc:Choice xmlns:a14="http://schemas.microsoft.com/office/drawing/2010/main" Requires="a14">
      <xdr:twoCellAnchor>
        <xdr:from>
          <xdr:col>6</xdr:col>
          <xdr:colOff>295275</xdr:colOff>
          <xdr:row>50</xdr:row>
          <xdr:rowOff>161925</xdr:rowOff>
        </xdr:from>
        <xdr:to>
          <xdr:col>7</xdr:col>
          <xdr:colOff>1181100</xdr:colOff>
          <xdr:row>52</xdr:row>
          <xdr:rowOff>142875</xdr:rowOff>
        </xdr:to>
        <xdr:sp macro="" textlink="">
          <xdr:nvSpPr>
            <xdr:cNvPr id="2079" name="Button 31" hidden="1">
              <a:extLst>
                <a:ext uri="{63B3BB69-23CF-44E3-9099-C40C66FF867C}">
                  <a14:compatExt spid="_x0000_s207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de-DE" sz="1100" b="0" i="0" u="none" strike="noStrike" baseline="0">
                  <a:solidFill>
                    <a:srgbClr val="000000"/>
                  </a:solidFill>
                  <a:latin typeface="Constantia"/>
                </a:rPr>
                <a:t>Drucken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9525</xdr:colOff>
          <xdr:row>26</xdr:row>
          <xdr:rowOff>0</xdr:rowOff>
        </xdr:from>
        <xdr:to>
          <xdr:col>4</xdr:col>
          <xdr:colOff>9525</xdr:colOff>
          <xdr:row>27</xdr:row>
          <xdr:rowOff>0</xdr:rowOff>
        </xdr:to>
        <xdr:sp macro="" textlink="">
          <xdr:nvSpPr>
            <xdr:cNvPr id="2466" name="Drop Down 418" hidden="1">
              <a:extLst>
                <a:ext uri="{63B3BB69-23CF-44E3-9099-C40C66FF867C}">
                  <a14:compatExt spid="_x0000_s24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0</xdr:colOff>
          <xdr:row>16</xdr:row>
          <xdr:rowOff>0</xdr:rowOff>
        </xdr:from>
        <xdr:to>
          <xdr:col>4</xdr:col>
          <xdr:colOff>0</xdr:colOff>
          <xdr:row>17</xdr:row>
          <xdr:rowOff>0</xdr:rowOff>
        </xdr:to>
        <xdr:sp macro="" textlink="">
          <xdr:nvSpPr>
            <xdr:cNvPr id="2468" name="Drop Down 420" hidden="1">
              <a:extLst>
                <a:ext uri="{63B3BB69-23CF-44E3-9099-C40C66FF867C}">
                  <a14:compatExt spid="_x0000_s24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9525</xdr:colOff>
          <xdr:row>16</xdr:row>
          <xdr:rowOff>0</xdr:rowOff>
        </xdr:from>
        <xdr:to>
          <xdr:col>9</xdr:col>
          <xdr:colOff>9525</xdr:colOff>
          <xdr:row>18</xdr:row>
          <xdr:rowOff>0</xdr:rowOff>
        </xdr:to>
        <xdr:sp macro="" textlink="">
          <xdr:nvSpPr>
            <xdr:cNvPr id="2469" name="Drop Down 421" hidden="1">
              <a:extLst>
                <a:ext uri="{63B3BB69-23CF-44E3-9099-C40C66FF867C}">
                  <a14:compatExt spid="_x0000_s24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228600</xdr:rowOff>
        </xdr:from>
        <xdr:to>
          <xdr:col>4</xdr:col>
          <xdr:colOff>0</xdr:colOff>
          <xdr:row>32</xdr:row>
          <xdr:rowOff>0</xdr:rowOff>
        </xdr:to>
        <xdr:sp macro="" textlink="">
          <xdr:nvSpPr>
            <xdr:cNvPr id="2585" name="Drop Down 537" hidden="1">
              <a:extLst>
                <a:ext uri="{63B3BB69-23CF-44E3-9099-C40C66FF867C}">
                  <a14:compatExt spid="_x0000_s25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46</xdr:row>
          <xdr:rowOff>219075</xdr:rowOff>
        </xdr:from>
        <xdr:to>
          <xdr:col>7</xdr:col>
          <xdr:colOff>1152525</xdr:colOff>
          <xdr:row>49</xdr:row>
          <xdr:rowOff>28575</xdr:rowOff>
        </xdr:to>
        <xdr:sp macro="" textlink="">
          <xdr:nvSpPr>
            <xdr:cNvPr id="2586" name="Button 538" hidden="1">
              <a:extLst>
                <a:ext uri="{63B3BB69-23CF-44E3-9099-C40C66FF867C}">
                  <a14:compatExt spid="_x0000_s258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de-DE" sz="1100" b="0" i="0" u="none" strike="noStrike" baseline="0">
                  <a:solidFill>
                    <a:srgbClr val="000000"/>
                  </a:solidFill>
                  <a:latin typeface="Constantia"/>
                </a:rPr>
                <a:t>Berechnen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0</xdr:colOff>
          <xdr:row>54</xdr:row>
          <xdr:rowOff>0</xdr:rowOff>
        </xdr:from>
        <xdr:to>
          <xdr:col>6</xdr:col>
          <xdr:colOff>0</xdr:colOff>
          <xdr:row>55</xdr:row>
          <xdr:rowOff>0</xdr:rowOff>
        </xdr:to>
        <xdr:sp macro="" textlink="">
          <xdr:nvSpPr>
            <xdr:cNvPr id="2593" name="Drop Down 545" hidden="1">
              <a:extLst>
                <a:ext uri="{63B3BB69-23CF-44E3-9099-C40C66FF867C}">
                  <a14:compatExt spid="_x0000_s25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Hyperion">
  <a:themeElements>
    <a:clrScheme name="Hyperion">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Hyperion">
      <a:majorFont>
        <a:latin typeface="Calibri"/>
        <a:ea typeface=""/>
        <a:cs typeface=""/>
        <a:font script="Jpan" typeface="ＭＳ Ｐゴシック"/>
        <a:font script="Hang" typeface="HY중고딕"/>
        <a:font script="Hans" typeface="隶书"/>
        <a:font script="Hant" typeface="微軟正黑體"/>
        <a:font script="Arab" typeface="Traditional Arabic"/>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Constantia"/>
        <a:ea typeface=""/>
        <a:cs typeface=""/>
        <a:font script="Jpan" typeface="HGP明朝E"/>
        <a:font script="Hang" typeface="HY신명조"/>
        <a:font script="Hans" typeface="宋体"/>
        <a:font script="Hant" typeface="新細明體"/>
        <a:font script="Arab" typeface="Majalla UI"/>
        <a:font script="Hebr" typeface="David"/>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Hyperion">
      <a:fillStyleLst>
        <a:solidFill>
          <a:schemeClr val="phClr"/>
        </a:solidFill>
        <a:gradFill rotWithShape="1">
          <a:gsLst>
            <a:gs pos="0">
              <a:schemeClr val="phClr">
                <a:tint val="70000"/>
                <a:satMod val="130000"/>
              </a:schemeClr>
            </a:gs>
            <a:gs pos="43000">
              <a:schemeClr val="phClr">
                <a:tint val="44000"/>
                <a:satMod val="165000"/>
              </a:schemeClr>
            </a:gs>
            <a:gs pos="93000">
              <a:schemeClr val="phClr">
                <a:tint val="15000"/>
                <a:satMod val="165000"/>
              </a:schemeClr>
            </a:gs>
            <a:gs pos="100000">
              <a:schemeClr val="phClr">
                <a:tint val="5000"/>
                <a:satMod val="250000"/>
              </a:schemeClr>
            </a:gs>
          </a:gsLst>
          <a:path path="circle">
            <a:fillToRect l="50000" t="130000" r="50000" b="-30000"/>
          </a:path>
        </a:gradFill>
        <a:gradFill rotWithShape="1">
          <a:gsLst>
            <a:gs pos="0">
              <a:schemeClr val="phClr">
                <a:tint val="98000"/>
                <a:shade val="25000"/>
                <a:satMod val="250000"/>
              </a:schemeClr>
            </a:gs>
            <a:gs pos="68000">
              <a:schemeClr val="phClr">
                <a:tint val="86000"/>
                <a:satMod val="115000"/>
              </a:schemeClr>
            </a:gs>
            <a:gs pos="100000">
              <a:schemeClr val="phClr">
                <a:tint val="50000"/>
                <a:satMod val="150000"/>
              </a:schemeClr>
            </a:gs>
          </a:gsLst>
          <a:path path="circle">
            <a:fillToRect l="50000" t="130000" r="50000" b="-30000"/>
          </a:path>
        </a:gradFill>
      </a:fillStyleLst>
      <a:lnStyleLst>
        <a:ln w="9525" cap="flat" cmpd="sng" algn="ctr">
          <a:solidFill>
            <a:schemeClr val="phClr">
              <a:shade val="50000"/>
              <a:satMod val="103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effectStyle>
        <a:effectStyle>
          <a:effectLst>
            <a:outerShdw blurRad="57150" dist="38100" dir="5400000" algn="ctr" rotWithShape="0">
              <a:schemeClr val="phClr">
                <a:shade val="9000"/>
                <a:satMod val="105000"/>
                <a:alpha val="48000"/>
              </a:schemeClr>
            </a:outerShdw>
          </a:effectLst>
          <a:scene3d>
            <a:camera prst="orthographicFront" fov="0">
              <a:rot lat="0" lon="0" rev="0"/>
            </a:camera>
            <a:lightRig rig="glow" dir="tl">
              <a:rot lat="0" lon="0" rev="900000"/>
            </a:lightRig>
          </a:scene3d>
          <a:sp3d prstMaterial="powder">
            <a:bevelT w="25400" h="38100"/>
          </a:sp3d>
        </a:effectStyle>
      </a:effectStyleLst>
      <a:bgFillStyleLst>
        <a:solidFill>
          <a:schemeClr val="phClr"/>
        </a:solidFill>
        <a:gradFill rotWithShape="1">
          <a:gsLst>
            <a:gs pos="0">
              <a:schemeClr val="phClr">
                <a:tint val="80000"/>
                <a:satMod val="400000"/>
              </a:schemeClr>
            </a:gs>
            <a:gs pos="25000">
              <a:schemeClr val="phClr">
                <a:tint val="83000"/>
                <a:satMod val="320000"/>
              </a:schemeClr>
            </a:gs>
            <a:gs pos="100000">
              <a:schemeClr val="phClr">
                <a:shade val="15000"/>
                <a:satMod val="320000"/>
              </a:schemeClr>
            </a:gs>
          </a:gsLst>
          <a:path path="circle">
            <a:fillToRect l="10000" t="110000" r="10000" b="100000"/>
          </a:path>
        </a:gradFill>
        <a:blipFill>
          <a:blip xmlns:r="http://schemas.openxmlformats.org/officeDocument/2006/relationships" r:embed="rId1">
            <a:duotone>
              <a:schemeClr val="phClr">
                <a:shade val="90000"/>
                <a:satMod val="150000"/>
              </a:schemeClr>
              <a:schemeClr val="phClr">
                <a:tint val="88000"/>
                <a:satMod val="150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beuth.de/de/technische-regel/din-spec-32737/224910019" TargetMode="External"/><Relationship Id="rId2" Type="http://schemas.openxmlformats.org/officeDocument/2006/relationships/hyperlink" Target="http://www.ibz-info.de/newsletterbestellung/abo" TargetMode="External"/><Relationship Id="rId1" Type="http://schemas.openxmlformats.org/officeDocument/2006/relationships/hyperlink" Target="http://www.ibz-info.de/news.html"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M89"/>
  <sheetViews>
    <sheetView topLeftCell="B50" zoomScale="85" zoomScaleNormal="85" workbookViewId="0">
      <selection activeCell="H63" sqref="H63"/>
    </sheetView>
  </sheetViews>
  <sheetFormatPr baseColWidth="10" defaultRowHeight="15" x14ac:dyDescent="0.25"/>
  <cols>
    <col min="1" max="1" width="4.25" style="22" customWidth="1"/>
    <col min="2" max="2" width="11" style="22"/>
    <col min="3" max="3" width="18.25" style="22" customWidth="1"/>
    <col min="4" max="4" width="11" style="22"/>
    <col min="5" max="5" width="15.5" style="22" customWidth="1"/>
    <col min="6" max="6" width="32" style="22" customWidth="1"/>
    <col min="7" max="7" width="13.5" style="22" customWidth="1"/>
    <col min="8" max="8" width="29" style="24" customWidth="1"/>
    <col min="9" max="9" width="38.625" style="25" customWidth="1"/>
    <col min="10" max="10" width="16.625" style="22" customWidth="1"/>
    <col min="11" max="11" width="15.875" style="22" customWidth="1"/>
    <col min="12" max="12" width="11.75" style="22" customWidth="1"/>
    <col min="13" max="13" width="17.25" style="25" customWidth="1"/>
    <col min="14" max="14" width="33.375" style="22" customWidth="1"/>
    <col min="15" max="15" width="28.375" style="22" customWidth="1"/>
    <col min="16" max="16" width="11" style="22"/>
    <col min="17" max="17" width="14" style="22" customWidth="1"/>
    <col min="18" max="18" width="16" style="22" customWidth="1"/>
    <col min="19" max="19" width="19.375" style="22" customWidth="1"/>
    <col min="20" max="20" width="15.25" style="22" customWidth="1"/>
    <col min="21" max="21" width="18.125" style="22" customWidth="1"/>
    <col min="22" max="22" width="14.375" style="22" customWidth="1"/>
    <col min="23" max="23" width="16.5" style="22" customWidth="1"/>
    <col min="24" max="24" width="15.5" style="22" customWidth="1"/>
    <col min="25" max="25" width="14.625" style="22" customWidth="1"/>
    <col min="26" max="26" width="14.125" style="22" customWidth="1"/>
    <col min="27" max="27" width="11" style="22"/>
    <col min="28" max="28" width="26.375" style="22" customWidth="1"/>
    <col min="29" max="36" width="11" style="22"/>
    <col min="37" max="16384" width="11" style="16"/>
  </cols>
  <sheetData>
    <row r="1" spans="1:37" ht="52.5" customHeight="1" x14ac:dyDescent="0.5">
      <c r="A1" s="18" t="s">
        <v>53</v>
      </c>
      <c r="B1" s="19"/>
      <c r="C1" s="20"/>
      <c r="D1" s="20"/>
      <c r="E1" s="20"/>
      <c r="F1" s="20"/>
      <c r="G1" s="20"/>
      <c r="H1" s="19"/>
      <c r="I1" s="21"/>
      <c r="J1" s="20"/>
      <c r="K1" s="20"/>
      <c r="L1" s="20"/>
      <c r="M1" s="20"/>
      <c r="T1" s="22" t="s">
        <v>399</v>
      </c>
    </row>
    <row r="2" spans="1:37" ht="27.75" customHeight="1" x14ac:dyDescent="0.3">
      <c r="B2" s="23" t="s">
        <v>126</v>
      </c>
      <c r="N2" s="22" t="s">
        <v>378</v>
      </c>
      <c r="O2" s="190">
        <v>1</v>
      </c>
      <c r="T2" s="22" t="s">
        <v>400</v>
      </c>
      <c r="AJ2" s="22">
        <v>1</v>
      </c>
      <c r="AK2" s="16" t="s">
        <v>440</v>
      </c>
    </row>
    <row r="3" spans="1:37" x14ac:dyDescent="0.25">
      <c r="B3" s="26"/>
      <c r="N3" s="22" t="s">
        <v>417</v>
      </c>
      <c r="T3" s="22" t="s">
        <v>401</v>
      </c>
      <c r="AK3" s="16" t="s">
        <v>67</v>
      </c>
    </row>
    <row r="4" spans="1:37" x14ac:dyDescent="0.25">
      <c r="B4" s="22" t="s">
        <v>6</v>
      </c>
      <c r="E4" s="27" t="s">
        <v>195</v>
      </c>
      <c r="F4" s="28" t="str">
        <f>IF(OR(Berechnungstool!D22="",Berechnungstool!D22=0,AND(OR(S84="-",S84="",S84=0),T84=2)),"",Berechnungstool!D22/S84)</f>
        <v/>
      </c>
      <c r="G4" s="25" t="s">
        <v>19</v>
      </c>
      <c r="H4" s="22" t="str">
        <f>IF(OR(F4&lt;6000,F4&gt;50000),"Nicht im Gültigkeitsbereich", "")</f>
        <v>Nicht im Gültigkeitsbereich</v>
      </c>
      <c r="I4" s="22" t="s">
        <v>9</v>
      </c>
      <c r="J4" s="27" t="s">
        <v>121</v>
      </c>
      <c r="K4" s="29" t="e">
        <f>(Berechnungstool!D22-F6)/F8</f>
        <v>#VALUE!</v>
      </c>
      <c r="L4" s="25" t="s">
        <v>21</v>
      </c>
      <c r="N4" s="22" t="s">
        <v>379</v>
      </c>
      <c r="Q4" s="22" t="s">
        <v>38</v>
      </c>
      <c r="R4" s="22" t="s">
        <v>345</v>
      </c>
      <c r="S4" s="22" t="s">
        <v>67</v>
      </c>
      <c r="AK4" s="16" t="s">
        <v>168</v>
      </c>
    </row>
    <row r="5" spans="1:37" x14ac:dyDescent="0.25">
      <c r="F5" s="24"/>
      <c r="G5" s="25"/>
      <c r="H5" s="22"/>
      <c r="I5" s="22"/>
      <c r="J5" s="24"/>
      <c r="K5" s="24"/>
      <c r="L5" s="25"/>
      <c r="Q5" s="22" t="s">
        <v>37</v>
      </c>
      <c r="R5" s="22" t="s">
        <v>168</v>
      </c>
      <c r="S5" s="22" t="s">
        <v>168</v>
      </c>
    </row>
    <row r="6" spans="1:37" x14ac:dyDescent="0.25">
      <c r="B6" s="22" t="s">
        <v>7</v>
      </c>
      <c r="E6" s="27" t="s">
        <v>196</v>
      </c>
      <c r="F6" s="28">
        <f>Berechnungstool!D20</f>
        <v>0</v>
      </c>
      <c r="G6" s="25" t="s">
        <v>19</v>
      </c>
      <c r="H6" s="22" t="str">
        <f>IF(OR(F6&lt;2000,F6&gt;15000),"Nicht im Gültigkeitsbereich", "")</f>
        <v>Nicht im Gültigkeitsbereich</v>
      </c>
      <c r="I6" s="22" t="s">
        <v>10</v>
      </c>
      <c r="J6" s="22" t="s">
        <v>122</v>
      </c>
      <c r="K6" s="30">
        <f>F6/8760</f>
        <v>0</v>
      </c>
      <c r="L6" s="25" t="s">
        <v>22</v>
      </c>
    </row>
    <row r="7" spans="1:37" x14ac:dyDescent="0.25">
      <c r="F7" s="24"/>
      <c r="G7" s="25"/>
      <c r="H7" s="22"/>
      <c r="I7" s="22"/>
      <c r="J7" s="24"/>
      <c r="K7" s="24"/>
      <c r="L7" s="25"/>
    </row>
    <row r="8" spans="1:37" x14ac:dyDescent="0.25">
      <c r="B8" s="22" t="s">
        <v>8</v>
      </c>
      <c r="E8" s="27" t="s">
        <v>120</v>
      </c>
      <c r="F8" s="28">
        <f>Berechnungstool!D24</f>
        <v>0</v>
      </c>
      <c r="G8" s="25" t="s">
        <v>20</v>
      </c>
      <c r="H8" s="22"/>
      <c r="I8" s="22" t="s">
        <v>11</v>
      </c>
      <c r="J8" s="22" t="s">
        <v>123</v>
      </c>
      <c r="K8" s="31" t="e">
        <f>IF(K4&lt;=70,185,IF(AND(K4&gt;70,K4&lt;=100),210,230))</f>
        <v>#VALUE!</v>
      </c>
      <c r="L8" s="25" t="s">
        <v>23</v>
      </c>
    </row>
    <row r="9" spans="1:37" x14ac:dyDescent="0.25">
      <c r="R9" s="22">
        <v>1</v>
      </c>
      <c r="S9" s="22">
        <v>2</v>
      </c>
      <c r="T9" s="22">
        <v>3</v>
      </c>
      <c r="U9" s="22">
        <v>4</v>
      </c>
      <c r="V9" s="22">
        <v>5</v>
      </c>
      <c r="W9" s="22">
        <v>6</v>
      </c>
      <c r="X9" s="22">
        <v>7</v>
      </c>
      <c r="Y9" s="22">
        <v>8</v>
      </c>
      <c r="Z9" s="22">
        <v>9</v>
      </c>
      <c r="AA9" s="22">
        <v>10</v>
      </c>
      <c r="AB9" s="22">
        <v>11</v>
      </c>
      <c r="AC9" s="22">
        <v>12</v>
      </c>
      <c r="AD9" s="22">
        <v>13</v>
      </c>
      <c r="AE9" s="22">
        <v>14</v>
      </c>
    </row>
    <row r="10" spans="1:37" ht="18" x14ac:dyDescent="0.35">
      <c r="B10" s="22" t="s">
        <v>5</v>
      </c>
      <c r="E10" s="22" t="s">
        <v>197</v>
      </c>
      <c r="F10" s="32" t="str">
        <f>IF(Berechnungstool!D25="","-",Berechnungstool!D25)</f>
        <v>-</v>
      </c>
      <c r="G10" s="25" t="s">
        <v>25</v>
      </c>
    </row>
    <row r="11" spans="1:37" x14ac:dyDescent="0.25">
      <c r="V11" s="22" t="s">
        <v>346</v>
      </c>
      <c r="AD11" s="22" t="s">
        <v>342</v>
      </c>
      <c r="AE11" s="22" t="s">
        <v>325</v>
      </c>
    </row>
    <row r="12" spans="1:37" ht="18" x14ac:dyDescent="0.35">
      <c r="B12" s="22" t="s">
        <v>137</v>
      </c>
      <c r="E12" s="22" t="s">
        <v>198</v>
      </c>
      <c r="F12" s="32"/>
      <c r="H12" s="32" t="s">
        <v>140</v>
      </c>
      <c r="I12" s="25" t="s">
        <v>141</v>
      </c>
      <c r="K12" s="33" t="s">
        <v>170</v>
      </c>
      <c r="L12" s="33"/>
      <c r="M12" s="25" t="s">
        <v>171</v>
      </c>
      <c r="Q12" s="22">
        <v>1</v>
      </c>
      <c r="R12" s="22">
        <v>1</v>
      </c>
      <c r="S12" s="22">
        <v>2</v>
      </c>
      <c r="T12" s="22">
        <v>3</v>
      </c>
      <c r="U12" s="22">
        <v>4</v>
      </c>
      <c r="V12" s="22">
        <v>5</v>
      </c>
      <c r="W12" s="22">
        <v>6</v>
      </c>
      <c r="X12" s="22">
        <v>7</v>
      </c>
      <c r="Y12" s="22">
        <v>8</v>
      </c>
      <c r="Z12" s="22">
        <v>9</v>
      </c>
      <c r="AA12" s="22">
        <v>10</v>
      </c>
      <c r="AB12" s="22">
        <v>11</v>
      </c>
      <c r="AC12" s="22">
        <v>12</v>
      </c>
      <c r="AD12" s="22">
        <v>13</v>
      </c>
      <c r="AE12" s="22">
        <v>14</v>
      </c>
      <c r="AF12" s="22">
        <v>15</v>
      </c>
    </row>
    <row r="13" spans="1:37" ht="45" x14ac:dyDescent="0.25">
      <c r="I13" s="25" t="s">
        <v>142</v>
      </c>
      <c r="M13" s="25" t="s">
        <v>172</v>
      </c>
      <c r="O13" s="34" t="s">
        <v>57</v>
      </c>
      <c r="P13" s="34" t="s">
        <v>176</v>
      </c>
      <c r="Q13" s="22">
        <v>2</v>
      </c>
      <c r="R13"/>
      <c r="S13" s="163" t="s">
        <v>418</v>
      </c>
      <c r="T13" s="163" t="s">
        <v>421</v>
      </c>
      <c r="U13" s="148" t="s">
        <v>343</v>
      </c>
      <c r="V13" s="148" t="s">
        <v>415</v>
      </c>
      <c r="W13" s="148" t="s">
        <v>413</v>
      </c>
      <c r="X13" s="163" t="s">
        <v>348</v>
      </c>
      <c r="Y13" s="163" t="s">
        <v>349</v>
      </c>
      <c r="Z13" s="148" t="s">
        <v>437</v>
      </c>
      <c r="AA13" s="34" t="s">
        <v>325</v>
      </c>
      <c r="AF13"/>
    </row>
    <row r="14" spans="1:37" ht="29.25" customHeight="1" x14ac:dyDescent="0.25">
      <c r="F14" s="22" t="s">
        <v>443</v>
      </c>
      <c r="G14" s="22">
        <f>IF(OR(G17=2,G17=3,G17=4,G17=5,G17=9),1,2)</f>
        <v>2</v>
      </c>
      <c r="H14" s="25" t="s">
        <v>444</v>
      </c>
      <c r="I14" s="25" t="s">
        <v>143</v>
      </c>
      <c r="O14" s="34" t="s">
        <v>66</v>
      </c>
      <c r="P14" s="34"/>
      <c r="Q14" s="22">
        <v>3</v>
      </c>
      <c r="R14"/>
      <c r="S14" s="35" t="s">
        <v>419</v>
      </c>
      <c r="T14" s="35" t="s">
        <v>420</v>
      </c>
      <c r="U14" s="34" t="s">
        <v>174</v>
      </c>
      <c r="V14" s="34" t="s">
        <v>416</v>
      </c>
      <c r="W14" s="35" t="s">
        <v>414</v>
      </c>
      <c r="X14" s="163" t="s">
        <v>350</v>
      </c>
      <c r="Y14" s="163" t="s">
        <v>351</v>
      </c>
      <c r="Z14" s="36" t="s">
        <v>438</v>
      </c>
      <c r="AA14" s="130">
        <f>Berechnungstool!H18</f>
        <v>0</v>
      </c>
      <c r="AF14"/>
    </row>
    <row r="15" spans="1:37" ht="18.75" x14ac:dyDescent="0.3">
      <c r="B15" s="23" t="s">
        <v>127</v>
      </c>
      <c r="L15" s="22">
        <v>1</v>
      </c>
      <c r="M15" s="25">
        <f>R13</f>
        <v>0</v>
      </c>
      <c r="O15" s="34" t="s">
        <v>44</v>
      </c>
      <c r="P15" s="34"/>
      <c r="Q15" s="22">
        <v>4</v>
      </c>
      <c r="R15"/>
      <c r="S15" s="35" t="s">
        <v>37</v>
      </c>
      <c r="T15" s="35" t="s">
        <v>37</v>
      </c>
      <c r="U15" s="34" t="s">
        <v>37</v>
      </c>
      <c r="V15" s="34" t="s">
        <v>38</v>
      </c>
      <c r="W15" s="35" t="s">
        <v>37</v>
      </c>
      <c r="X15" s="36" t="s">
        <v>37</v>
      </c>
      <c r="Y15" s="36" t="s">
        <v>37</v>
      </c>
      <c r="Z15" s="36" t="s">
        <v>38</v>
      </c>
      <c r="AA15" s="34" t="str">
        <f>IF(Berechnungstool!H20="","",Berechnungstool!H20)</f>
        <v/>
      </c>
      <c r="AF15"/>
    </row>
    <row r="16" spans="1:37" x14ac:dyDescent="0.25">
      <c r="H16" s="24" t="s">
        <v>145</v>
      </c>
      <c r="I16" s="25" t="s">
        <v>327</v>
      </c>
      <c r="J16" s="22">
        <v>2</v>
      </c>
      <c r="L16" s="22">
        <v>2</v>
      </c>
      <c r="M16" s="25" t="str">
        <f>S13</f>
        <v>Bosch: Buderus Logapower FC10.2</v>
      </c>
      <c r="O16" s="34" t="s">
        <v>0</v>
      </c>
      <c r="P16" s="34"/>
      <c r="Q16" s="22">
        <v>5</v>
      </c>
      <c r="R16"/>
      <c r="S16" s="35" t="s">
        <v>67</v>
      </c>
      <c r="T16" s="35" t="s">
        <v>67</v>
      </c>
      <c r="U16" s="34" t="s">
        <v>67</v>
      </c>
      <c r="V16" s="34" t="s">
        <v>67</v>
      </c>
      <c r="W16" s="35" t="s">
        <v>168</v>
      </c>
      <c r="X16" s="36" t="s">
        <v>67</v>
      </c>
      <c r="Y16" s="36" t="s">
        <v>67</v>
      </c>
      <c r="Z16" s="36" t="s">
        <v>168</v>
      </c>
      <c r="AA16" s="34" t="str">
        <f>IF(Berechnungstool!H21="","",Berechnungstool!H21)</f>
        <v/>
      </c>
      <c r="AF16"/>
    </row>
    <row r="17" spans="1:32" ht="18" x14ac:dyDescent="0.35">
      <c r="A17" s="22">
        <v>1</v>
      </c>
      <c r="B17" s="22" t="s">
        <v>57</v>
      </c>
      <c r="F17" s="32" t="str">
        <f>HLOOKUP(G17,S12:AF36,2,FALSE)</f>
        <v>Manuelle Eingabe</v>
      </c>
      <c r="G17" s="25">
        <f>H17+1</f>
        <v>10</v>
      </c>
      <c r="H17" s="22">
        <v>9</v>
      </c>
      <c r="I17" s="25" t="s">
        <v>146</v>
      </c>
      <c r="L17" s="22">
        <v>3</v>
      </c>
      <c r="M17" s="25" t="str">
        <f>T13</f>
        <v>Bosch: Junkers Cerapower FC 10-2</v>
      </c>
      <c r="O17" s="34" t="s">
        <v>60</v>
      </c>
      <c r="P17" s="34" t="s">
        <v>199</v>
      </c>
      <c r="Q17" s="22">
        <v>6</v>
      </c>
      <c r="R17"/>
      <c r="S17" s="38">
        <v>24</v>
      </c>
      <c r="T17" s="38">
        <v>24</v>
      </c>
      <c r="U17" s="38">
        <v>24</v>
      </c>
      <c r="V17" s="38">
        <v>24</v>
      </c>
      <c r="W17" s="38">
        <v>24</v>
      </c>
      <c r="X17" s="38">
        <v>24</v>
      </c>
      <c r="Y17" s="38">
        <v>24</v>
      </c>
      <c r="Z17" s="38">
        <v>22</v>
      </c>
      <c r="AA17" s="34" t="str">
        <f>IF(Berechnungstool!H22="","",Berechnungstool!H22)</f>
        <v/>
      </c>
      <c r="AF17"/>
    </row>
    <row r="18" spans="1:32" ht="18" x14ac:dyDescent="0.35">
      <c r="H18" s="24" t="s">
        <v>147</v>
      </c>
      <c r="I18" s="39">
        <f>IF(J16=2,0.93,Berechnungstool!D38)</f>
        <v>0.93</v>
      </c>
      <c r="L18" s="22">
        <v>4</v>
      </c>
      <c r="M18" s="25" t="str">
        <f>U13</f>
        <v>Hexis: Galileo 1000 N</v>
      </c>
      <c r="O18" s="34" t="s">
        <v>58</v>
      </c>
      <c r="P18" s="34" t="s">
        <v>200</v>
      </c>
      <c r="Q18" s="22">
        <v>7</v>
      </c>
      <c r="R18"/>
      <c r="S18" s="38" t="s">
        <v>175</v>
      </c>
      <c r="T18" s="38" t="s">
        <v>175</v>
      </c>
      <c r="U18" s="38" t="s">
        <v>175</v>
      </c>
      <c r="V18" s="38">
        <v>43</v>
      </c>
      <c r="W18" s="38" t="s">
        <v>175</v>
      </c>
      <c r="X18" s="38">
        <v>70</v>
      </c>
      <c r="Y18" s="38">
        <v>70</v>
      </c>
      <c r="Z18" s="38">
        <v>50</v>
      </c>
      <c r="AA18" s="34" t="str">
        <f>IF(Berechnungstool!H23="","",Berechnungstool!H23)</f>
        <v/>
      </c>
      <c r="AF18"/>
    </row>
    <row r="19" spans="1:32" x14ac:dyDescent="0.25">
      <c r="B19" s="22" t="s">
        <v>66</v>
      </c>
      <c r="F19" s="40">
        <f>HLOOKUP(G17,S12:AF36,3,FALSE)</f>
        <v>0</v>
      </c>
      <c r="G19" s="25"/>
      <c r="H19" s="22"/>
      <c r="L19" s="22">
        <v>5</v>
      </c>
      <c r="M19" s="25" t="str">
        <f>V13</f>
        <v>SenerTec: Dachs InnoGen</v>
      </c>
      <c r="O19" s="34" t="s">
        <v>59</v>
      </c>
      <c r="P19" s="34"/>
      <c r="Q19" s="22">
        <v>8</v>
      </c>
      <c r="R19"/>
      <c r="S19" s="38" t="s">
        <v>168</v>
      </c>
      <c r="T19" s="38" t="s">
        <v>168</v>
      </c>
      <c r="U19" s="38" t="s">
        <v>67</v>
      </c>
      <c r="V19" s="38" t="s">
        <v>168</v>
      </c>
      <c r="W19" s="38" t="s">
        <v>67</v>
      </c>
      <c r="X19" s="38" t="s">
        <v>67</v>
      </c>
      <c r="Y19" s="38" t="s">
        <v>67</v>
      </c>
      <c r="Z19" s="38" t="s">
        <v>168</v>
      </c>
      <c r="AA19" s="34" t="str">
        <f>IF(Berechnungstool!H24="","",Berechnungstool!H24)</f>
        <v/>
      </c>
      <c r="AF19"/>
    </row>
    <row r="20" spans="1:32" ht="18" x14ac:dyDescent="0.35">
      <c r="L20" s="22">
        <v>6</v>
      </c>
      <c r="M20" s="25" t="str">
        <f>W13</f>
        <v>SOLIDpower: BlueGEN</v>
      </c>
      <c r="O20" s="34" t="s">
        <v>61</v>
      </c>
      <c r="P20" s="34" t="s">
        <v>201</v>
      </c>
      <c r="Q20" s="22">
        <v>9</v>
      </c>
      <c r="R20"/>
      <c r="S20" s="38" t="s">
        <v>175</v>
      </c>
      <c r="T20" s="38" t="s">
        <v>175</v>
      </c>
      <c r="U20" s="38">
        <v>0.9</v>
      </c>
      <c r="V20" s="38" t="s">
        <v>175</v>
      </c>
      <c r="W20" s="38">
        <v>0.19</v>
      </c>
      <c r="X20" s="38">
        <v>0.65</v>
      </c>
      <c r="Y20" s="38">
        <v>0.65</v>
      </c>
      <c r="Z20" s="38" t="s">
        <v>175</v>
      </c>
      <c r="AA20" s="34" t="str">
        <f>IF(Berechnungstool!H25="","",Berechnungstool!H25)</f>
        <v/>
      </c>
      <c r="AF20"/>
    </row>
    <row r="21" spans="1:32" ht="18" x14ac:dyDescent="0.35">
      <c r="B21" s="22" t="s">
        <v>44</v>
      </c>
      <c r="F21" s="32" t="str">
        <f>HLOOKUP(G17,S12:AF36,4,FALSE)</f>
        <v/>
      </c>
      <c r="G21" s="25"/>
      <c r="H21" s="22" t="s">
        <v>319</v>
      </c>
      <c r="I21" s="127" t="str">
        <f>Berechnungstool!D22</f>
        <v/>
      </c>
      <c r="J21" s="22" t="s">
        <v>320</v>
      </c>
      <c r="K21" s="22" t="str">
        <f>HLOOKUP(G17,S12:AF36,20,FALSE)</f>
        <v>-</v>
      </c>
      <c r="L21" s="22">
        <v>7</v>
      </c>
      <c r="M21" s="25" t="str">
        <f>X13</f>
        <v>Vaillant: Vaillant G5 - 0,8 kW</v>
      </c>
      <c r="O21" s="34" t="s">
        <v>4</v>
      </c>
      <c r="P21" s="41" t="s">
        <v>202</v>
      </c>
      <c r="Q21" s="22">
        <v>10</v>
      </c>
      <c r="R21"/>
      <c r="S21" s="38">
        <v>140</v>
      </c>
      <c r="T21" s="38">
        <v>140</v>
      </c>
      <c r="U21" s="38" t="s">
        <v>175</v>
      </c>
      <c r="V21" s="38">
        <v>300</v>
      </c>
      <c r="W21" s="38" t="s">
        <v>175</v>
      </c>
      <c r="X21" s="38">
        <v>500</v>
      </c>
      <c r="Y21" s="38">
        <v>800</v>
      </c>
      <c r="Z21" s="38">
        <v>170</v>
      </c>
      <c r="AA21" s="92" t="str">
        <f>IF(Berechnungstool!H27="","",Berechnungstool!H27)</f>
        <v/>
      </c>
      <c r="AF21"/>
    </row>
    <row r="22" spans="1:32" ht="18" x14ac:dyDescent="0.35">
      <c r="I22" s="182" t="str">
        <f>IF(Tabelle1!$O$2=1,IF(OR(K21="-",K21=0,I21&gt;=K21),IF(OR(K22="-",K22=0,,K22&gt;=I21,I21=""),"","Gesamter Wärmeenergiebedarf für die gewählte BZ zu hoch"),"Gesamter Wärmeenergiebedarf für die gewählte BZ zu gering"),IF(OR(K21="-",I21&gt;=K21),IF(OR(K22="-",K22&gt;=I21,I21=""),"","Erzeugernutzwärmeabgabe an das Gebäude für die gewählte BZ zu hoch"),"Erzeugernutzwärmeabgabe an das Gebäude für die gewählte BZ zu gering"))</f>
        <v/>
      </c>
      <c r="J22" s="22" t="s">
        <v>321</v>
      </c>
      <c r="K22" s="22" t="str">
        <f>HLOOKUP(G17,S12:AF36,21,FALSE)</f>
        <v>-</v>
      </c>
      <c r="L22" s="22">
        <v>8</v>
      </c>
      <c r="M22" s="25" t="str">
        <f>Y13</f>
        <v>Vaillant: Vaillant G5 - 1,0 kW</v>
      </c>
      <c r="O22" s="34" t="s">
        <v>62</v>
      </c>
      <c r="P22" s="34" t="s">
        <v>203</v>
      </c>
      <c r="Q22" s="22">
        <v>11</v>
      </c>
      <c r="R22"/>
      <c r="S22" s="42">
        <v>0.46</v>
      </c>
      <c r="T22" s="42">
        <v>0.46</v>
      </c>
      <c r="U22" s="42">
        <v>0.35</v>
      </c>
      <c r="V22" s="42">
        <v>0.37</v>
      </c>
      <c r="W22" s="42">
        <v>0.62</v>
      </c>
      <c r="X22" s="42">
        <v>0.31</v>
      </c>
      <c r="Y22" s="42">
        <v>0.31</v>
      </c>
      <c r="Z22" s="42">
        <v>0.37</v>
      </c>
      <c r="AA22" s="132" t="str">
        <f>IF(Berechnungstool!H29="","",Berechnungstool!H29)</f>
        <v/>
      </c>
      <c r="AF22"/>
    </row>
    <row r="23" spans="1:32" ht="18" x14ac:dyDescent="0.35">
      <c r="B23" s="22" t="s">
        <v>0</v>
      </c>
      <c r="F23" s="32" t="str">
        <f>HLOOKUP(G17,S12:AF36,5,FALSE)</f>
        <v/>
      </c>
      <c r="G23" s="25"/>
      <c r="H23" s="22"/>
      <c r="L23" s="22">
        <v>9</v>
      </c>
      <c r="M23" s="25" t="str">
        <f>Z13</f>
        <v>Viessmann: Vitovalor 300-P (C3TB)</v>
      </c>
      <c r="O23" s="34" t="s">
        <v>13</v>
      </c>
      <c r="P23" s="34" t="s">
        <v>204</v>
      </c>
      <c r="Q23" s="22">
        <v>12</v>
      </c>
      <c r="R23"/>
      <c r="S23" s="42">
        <v>0.85</v>
      </c>
      <c r="T23" s="42">
        <v>0.85</v>
      </c>
      <c r="U23" s="42">
        <v>0.95</v>
      </c>
      <c r="V23" s="42">
        <v>0.9</v>
      </c>
      <c r="W23" s="42">
        <v>0.86</v>
      </c>
      <c r="X23" s="42">
        <v>0.87</v>
      </c>
      <c r="Y23" s="42">
        <v>0.87</v>
      </c>
      <c r="Z23" s="42">
        <v>0.9</v>
      </c>
      <c r="AA23" s="132" t="str">
        <f>IF(Berechnungstool!H30="","",Berechnungstool!H30)</f>
        <v/>
      </c>
      <c r="AF23"/>
    </row>
    <row r="24" spans="1:32" ht="18" x14ac:dyDescent="0.35">
      <c r="F24" s="24"/>
      <c r="G24" s="25"/>
      <c r="H24" s="22"/>
      <c r="L24" s="22">
        <v>10</v>
      </c>
      <c r="M24" s="25" t="str">
        <f>AA13</f>
        <v>Manuelle Eingabe</v>
      </c>
      <c r="O24" s="34" t="s">
        <v>14</v>
      </c>
      <c r="P24" s="34" t="s">
        <v>205</v>
      </c>
      <c r="Q24" s="22">
        <v>13</v>
      </c>
      <c r="R24"/>
      <c r="S24" s="44">
        <v>0.7</v>
      </c>
      <c r="T24" s="44">
        <v>0.7</v>
      </c>
      <c r="U24" s="44">
        <v>1</v>
      </c>
      <c r="V24" s="44">
        <v>0.7</v>
      </c>
      <c r="W24" s="44">
        <v>1.5</v>
      </c>
      <c r="X24" s="44">
        <v>0.8</v>
      </c>
      <c r="Y24" s="44">
        <v>1</v>
      </c>
      <c r="Z24" s="44">
        <v>0.75</v>
      </c>
      <c r="AA24" s="132" t="str">
        <f>IF(Berechnungstool!H31="","",Berechnungstool!H31)</f>
        <v/>
      </c>
      <c r="AF24"/>
    </row>
    <row r="25" spans="1:32" ht="18" x14ac:dyDescent="0.35">
      <c r="B25" s="22" t="s">
        <v>1</v>
      </c>
      <c r="E25" s="22" t="s">
        <v>199</v>
      </c>
      <c r="F25" s="91" t="str">
        <f>HLOOKUP(G17,S12:AF36,6,FALSE)</f>
        <v/>
      </c>
      <c r="G25" s="25" t="s">
        <v>24</v>
      </c>
      <c r="H25" s="145" t="s">
        <v>317</v>
      </c>
      <c r="I25" s="145" t="s">
        <v>316</v>
      </c>
      <c r="J25" s="147" t="str">
        <f>HLOOKUP(G17,S12:AF36,22,FALSE)</f>
        <v/>
      </c>
      <c r="L25" s="22">
        <v>11</v>
      </c>
      <c r="O25" s="34" t="s">
        <v>177</v>
      </c>
      <c r="P25" s="34" t="s">
        <v>206</v>
      </c>
      <c r="Q25" s="22">
        <v>14</v>
      </c>
      <c r="R25"/>
      <c r="S25" s="44">
        <v>0.48599999999999999</v>
      </c>
      <c r="T25" s="44">
        <v>0.48599999999999999</v>
      </c>
      <c r="U25" s="44">
        <v>1.1599999999999999</v>
      </c>
      <c r="V25" s="44">
        <v>0.95</v>
      </c>
      <c r="W25" s="44">
        <v>0.19</v>
      </c>
      <c r="X25" s="44">
        <v>1.3</v>
      </c>
      <c r="Y25" s="44">
        <v>1.6</v>
      </c>
      <c r="Z25" s="44">
        <v>0.94</v>
      </c>
      <c r="AA25" s="132" t="str">
        <f>IF(Berechnungstool!H32="","",Berechnungstool!H32)</f>
        <v/>
      </c>
      <c r="AF25"/>
    </row>
    <row r="26" spans="1:32" ht="18" x14ac:dyDescent="0.35">
      <c r="F26" s="24"/>
      <c r="G26" s="25"/>
      <c r="H26" s="145" t="s">
        <v>313</v>
      </c>
      <c r="I26" s="109" t="s">
        <v>312</v>
      </c>
      <c r="J26" s="147" t="str">
        <f>HLOOKUP(G17,S12:AF36,23,FALSE)</f>
        <v/>
      </c>
      <c r="L26" s="22">
        <v>12</v>
      </c>
      <c r="O26" s="34" t="s">
        <v>15</v>
      </c>
      <c r="P26" s="45" t="s">
        <v>207</v>
      </c>
      <c r="Q26" s="22">
        <v>15</v>
      </c>
      <c r="R26"/>
      <c r="S26" s="44">
        <v>1</v>
      </c>
      <c r="T26" s="44">
        <v>1</v>
      </c>
      <c r="U26" s="44">
        <v>9</v>
      </c>
      <c r="V26" s="44">
        <v>0.4</v>
      </c>
      <c r="W26" s="44">
        <v>1.7</v>
      </c>
      <c r="X26" s="44">
        <v>0.56000000000000005</v>
      </c>
      <c r="Y26" s="44">
        <v>0.56000000000000005</v>
      </c>
      <c r="Z26" s="44">
        <v>0.36</v>
      </c>
      <c r="AA26" s="131" t="str">
        <f>IF(Berechnungstool!H34="","",Berechnungstool!H34)</f>
        <v/>
      </c>
      <c r="AF26"/>
    </row>
    <row r="27" spans="1:32" ht="18" x14ac:dyDescent="0.35">
      <c r="B27" s="22" t="s">
        <v>2</v>
      </c>
      <c r="E27" s="22" t="s">
        <v>200</v>
      </c>
      <c r="F27" s="90" t="str">
        <f>HLOOKUP(G17,S12:AF36,7,FALSE)</f>
        <v/>
      </c>
      <c r="G27" s="25" t="s">
        <v>25</v>
      </c>
      <c r="H27" s="145" t="s">
        <v>309</v>
      </c>
      <c r="I27" s="109" t="s">
        <v>308</v>
      </c>
      <c r="J27" s="147" t="str">
        <f>HLOOKUP(G17,S12:AF36,24,FALSE)</f>
        <v/>
      </c>
      <c r="L27" s="22">
        <v>13</v>
      </c>
      <c r="O27" s="34" t="s">
        <v>68</v>
      </c>
      <c r="P27" s="34" t="s">
        <v>208</v>
      </c>
      <c r="Q27" s="22">
        <v>16</v>
      </c>
      <c r="R27"/>
      <c r="S27" s="38">
        <v>0.158</v>
      </c>
      <c r="T27" s="38">
        <v>0.158</v>
      </c>
      <c r="U27" s="38">
        <v>0.9</v>
      </c>
      <c r="V27" s="38">
        <v>0.21</v>
      </c>
      <c r="W27" s="38" t="s">
        <v>175</v>
      </c>
      <c r="X27" s="34">
        <v>0.67</v>
      </c>
      <c r="Y27" s="34">
        <v>0.67</v>
      </c>
      <c r="Z27" s="34" t="s">
        <v>175</v>
      </c>
      <c r="AA27" s="131" t="str">
        <f>IF(Berechnungstool!H36="","",Berechnungstool!H36)</f>
        <v/>
      </c>
      <c r="AF27"/>
    </row>
    <row r="28" spans="1:32" ht="18" x14ac:dyDescent="0.35">
      <c r="F28" s="24"/>
      <c r="G28" s="25"/>
      <c r="H28" s="145" t="s">
        <v>265</v>
      </c>
      <c r="I28" s="109" t="s">
        <v>264</v>
      </c>
      <c r="J28" s="147" t="str">
        <f>HLOOKUP(G17,S12:AF36,25,FALSE)</f>
        <v/>
      </c>
      <c r="L28" s="22">
        <v>14</v>
      </c>
      <c r="O28" s="34" t="s">
        <v>63</v>
      </c>
      <c r="P28" s="34" t="s">
        <v>209</v>
      </c>
      <c r="Q28" s="22">
        <v>17</v>
      </c>
      <c r="R28"/>
      <c r="S28" s="46">
        <v>0.24</v>
      </c>
      <c r="T28" s="46">
        <v>0.24</v>
      </c>
      <c r="U28" s="46">
        <v>0.6</v>
      </c>
      <c r="V28" s="46">
        <v>0.28999999999999998</v>
      </c>
      <c r="W28" s="46" t="s">
        <v>175</v>
      </c>
      <c r="X28" s="43">
        <v>0.43</v>
      </c>
      <c r="Y28" s="43">
        <v>0.43</v>
      </c>
      <c r="Z28" s="43" t="s">
        <v>175</v>
      </c>
      <c r="AA28" s="131" t="str">
        <f>IF(Berechnungstool!H37="","",Berechnungstool!H37)</f>
        <v/>
      </c>
      <c r="AF28"/>
    </row>
    <row r="29" spans="1:32" ht="18" x14ac:dyDescent="0.35">
      <c r="B29" s="22" t="s">
        <v>3</v>
      </c>
      <c r="F29" s="32" t="str">
        <f>HLOOKUP(G17,S12:AF36,8,FALSE)</f>
        <v/>
      </c>
      <c r="G29" s="25"/>
      <c r="H29" s="22"/>
      <c r="L29" s="22">
        <v>15</v>
      </c>
      <c r="O29" s="34" t="s">
        <v>64</v>
      </c>
      <c r="P29" s="34" t="s">
        <v>210</v>
      </c>
      <c r="Q29" s="22">
        <v>18</v>
      </c>
      <c r="R29"/>
      <c r="S29" s="38">
        <v>0.19</v>
      </c>
      <c r="T29" s="38">
        <v>0.19</v>
      </c>
      <c r="U29" s="38">
        <v>0.5</v>
      </c>
      <c r="V29" s="38">
        <v>0.25</v>
      </c>
      <c r="W29" s="38" t="s">
        <v>175</v>
      </c>
      <c r="X29" s="34">
        <v>0.5</v>
      </c>
      <c r="Y29" s="34">
        <v>0.5</v>
      </c>
      <c r="Z29" s="34" t="s">
        <v>175</v>
      </c>
      <c r="AA29" s="131" t="str">
        <f>IF(Berechnungstool!H38="","",Berechnungstool!H38)</f>
        <v/>
      </c>
      <c r="AF29"/>
    </row>
    <row r="30" spans="1:32" ht="18" x14ac:dyDescent="0.35">
      <c r="F30" s="24"/>
      <c r="G30" s="25"/>
      <c r="H30" s="22"/>
      <c r="O30" s="34" t="s">
        <v>65</v>
      </c>
      <c r="P30" s="34" t="s">
        <v>211</v>
      </c>
      <c r="Q30" s="22">
        <v>19</v>
      </c>
      <c r="R30"/>
      <c r="S30" s="46">
        <v>0.28999999999999998</v>
      </c>
      <c r="T30" s="46">
        <v>0.28999999999999998</v>
      </c>
      <c r="U30" s="46">
        <v>0.35</v>
      </c>
      <c r="V30" s="46">
        <v>0.35</v>
      </c>
      <c r="W30" s="46" t="s">
        <v>175</v>
      </c>
      <c r="X30" s="43">
        <v>0.32</v>
      </c>
      <c r="Y30" s="43">
        <v>0.32</v>
      </c>
      <c r="Z30" s="43" t="s">
        <v>175</v>
      </c>
      <c r="AA30" s="131" t="str">
        <f>IF(Berechnungstool!H39="","",Berechnungstool!H39)</f>
        <v/>
      </c>
      <c r="AF30"/>
    </row>
    <row r="31" spans="1:32" ht="18" x14ac:dyDescent="0.35">
      <c r="B31" s="22" t="s">
        <v>45</v>
      </c>
      <c r="E31" s="22" t="s">
        <v>201</v>
      </c>
      <c r="F31" s="90" t="str">
        <f>HLOOKUP(G17,S12:AF36,9,FALSE)</f>
        <v/>
      </c>
      <c r="G31" s="25" t="s">
        <v>22</v>
      </c>
      <c r="H31" s="22"/>
      <c r="O31" s="34" t="s">
        <v>250</v>
      </c>
      <c r="P31" s="34" t="s">
        <v>322</v>
      </c>
      <c r="Q31" s="22">
        <v>20</v>
      </c>
      <c r="R31"/>
      <c r="S31" s="34" t="s">
        <v>175</v>
      </c>
      <c r="T31" s="34" t="s">
        <v>175</v>
      </c>
      <c r="U31" s="34">
        <v>15000</v>
      </c>
      <c r="V31" s="34" t="s">
        <v>175</v>
      </c>
      <c r="W31" s="34" t="s">
        <v>175</v>
      </c>
      <c r="X31" s="34" t="s">
        <v>175</v>
      </c>
      <c r="Y31" s="34" t="s">
        <v>175</v>
      </c>
      <c r="Z31" s="34" t="s">
        <v>175</v>
      </c>
      <c r="AA31" s="34" t="s">
        <v>175</v>
      </c>
      <c r="AF31"/>
    </row>
    <row r="32" spans="1:32" ht="18" x14ac:dyDescent="0.35">
      <c r="F32" s="24"/>
      <c r="G32" s="25"/>
      <c r="H32" s="22"/>
      <c r="O32" s="34" t="s">
        <v>251</v>
      </c>
      <c r="P32" s="34" t="s">
        <v>323</v>
      </c>
      <c r="Q32" s="22">
        <v>21</v>
      </c>
      <c r="R32"/>
      <c r="S32" s="34" t="s">
        <v>175</v>
      </c>
      <c r="T32" s="34" t="s">
        <v>175</v>
      </c>
      <c r="U32" s="34">
        <v>35000</v>
      </c>
      <c r="V32" s="34" t="s">
        <v>175</v>
      </c>
      <c r="W32" s="34" t="s">
        <v>175</v>
      </c>
      <c r="X32" s="34" t="s">
        <v>175</v>
      </c>
      <c r="Y32" s="34" t="s">
        <v>175</v>
      </c>
      <c r="Z32" s="34" t="s">
        <v>175</v>
      </c>
      <c r="AA32" s="34" t="s">
        <v>175</v>
      </c>
      <c r="AF32"/>
    </row>
    <row r="33" spans="2:39" ht="18" x14ac:dyDescent="0.35">
      <c r="B33" s="22" t="s">
        <v>4</v>
      </c>
      <c r="E33" s="47" t="s">
        <v>202</v>
      </c>
      <c r="F33" s="32" t="str">
        <f>IF(F17=AA13,"Bitte eintragen",IF(HLOOKUP(G17,S12:AD36,10)="-","Bitte eintragen",HLOOKUP(G17,S12:AD36,10)))</f>
        <v>Bitte eintragen</v>
      </c>
      <c r="G33" s="25" t="s">
        <v>26</v>
      </c>
      <c r="H33" s="133">
        <f>Berechnungstool!H27</f>
        <v>0</v>
      </c>
      <c r="I33" s="183" t="str">
        <f>IF(OR(Berechnungstool!H27="",N45="",H33="-",H33=0,H33=""),"",IF(F33="Bitte eintragen",IF(H33/N45&lt;100,"Nicht im Gültigkeitsbereich",""),IF(F33/N45&lt;100,"Nicht im Gültigkeitsbereich","")))</f>
        <v/>
      </c>
      <c r="O33" s="145" t="s">
        <v>317</v>
      </c>
      <c r="P33" s="145" t="s">
        <v>316</v>
      </c>
      <c r="Q33" s="22">
        <v>22</v>
      </c>
      <c r="R33"/>
      <c r="S33" s="146">
        <v>23.6</v>
      </c>
      <c r="T33" s="146">
        <v>23.6</v>
      </c>
      <c r="U33" s="146">
        <v>23</v>
      </c>
      <c r="V33" s="146">
        <v>20</v>
      </c>
      <c r="W33" s="159" t="str">
        <f>IF(Berechnungstool!$D33="","",Berechnungstool!$D33)</f>
        <v/>
      </c>
      <c r="X33" s="159" t="str">
        <f>IF(Berechnungstool!$D33="","",Berechnungstool!$D33)</f>
        <v/>
      </c>
      <c r="Y33" s="159" t="str">
        <f>IF(Berechnungstool!$D33="","",Berechnungstool!$D33)</f>
        <v/>
      </c>
      <c r="Z33" s="146">
        <v>19</v>
      </c>
      <c r="AA33" s="159" t="str">
        <f>IF(Berechnungstool!D33="","",Berechnungstool!D33)</f>
        <v/>
      </c>
      <c r="AF33"/>
    </row>
    <row r="34" spans="2:39" ht="18.75" customHeight="1" thickBot="1" x14ac:dyDescent="0.4">
      <c r="J34" s="26" t="s">
        <v>28</v>
      </c>
      <c r="O34" s="145" t="s">
        <v>313</v>
      </c>
      <c r="P34" s="109" t="s">
        <v>312</v>
      </c>
      <c r="Q34" s="22">
        <v>23</v>
      </c>
      <c r="R34"/>
      <c r="S34" s="181">
        <v>0.97499999999999998</v>
      </c>
      <c r="T34" s="181">
        <v>0.97499999999999998</v>
      </c>
      <c r="U34" s="181">
        <v>0.95</v>
      </c>
      <c r="V34" s="181">
        <v>0.97699999999999998</v>
      </c>
      <c r="W34" s="159" t="str">
        <f>IF(Berechnungstool!$D34="","",Berechnungstool!$D34)</f>
        <v/>
      </c>
      <c r="X34" s="159" t="str">
        <f>IF(Berechnungstool!$D34="","",Berechnungstool!$D34)</f>
        <v/>
      </c>
      <c r="Y34" s="159" t="str">
        <f>IF(Berechnungstool!$D34="","",Berechnungstool!$D34)</f>
        <v/>
      </c>
      <c r="Z34" s="181">
        <v>0.96099999999999997</v>
      </c>
      <c r="AA34" s="160" t="str">
        <f>IF(Berechnungstool!D34="","",Berechnungstool!D34)</f>
        <v/>
      </c>
      <c r="AF34"/>
    </row>
    <row r="35" spans="2:39" ht="21" customHeight="1" thickBot="1" x14ac:dyDescent="0.4">
      <c r="B35" s="22" t="s">
        <v>12</v>
      </c>
      <c r="E35" s="22" t="s">
        <v>203</v>
      </c>
      <c r="F35" s="48" t="str">
        <f>HLOOKUP(G17,S12:AF36,11,FALSE)</f>
        <v/>
      </c>
      <c r="G35" s="25"/>
      <c r="L35" s="22" t="s">
        <v>39</v>
      </c>
      <c r="M35" s="25" t="s">
        <v>212</v>
      </c>
      <c r="N35" s="144" t="str">
        <f>IF(OR(F21="-",F21="",F35=""),"",IF(F21="SOFC",AI38*F35,AI39*F35))</f>
        <v/>
      </c>
      <c r="O35" s="145" t="s">
        <v>309</v>
      </c>
      <c r="P35" s="109" t="s">
        <v>308</v>
      </c>
      <c r="Q35" s="22">
        <v>24</v>
      </c>
      <c r="R35"/>
      <c r="S35" s="181">
        <v>1.0860000000000001</v>
      </c>
      <c r="T35" s="181">
        <v>1.0860000000000001</v>
      </c>
      <c r="U35" s="181">
        <v>1.0900000000000001</v>
      </c>
      <c r="V35" s="181">
        <v>1.0880000000000001</v>
      </c>
      <c r="W35" s="159" t="str">
        <f>IF(Berechnungstool!$D35="","",Berechnungstool!$D35)</f>
        <v/>
      </c>
      <c r="X35" s="159" t="str">
        <f>IF(Berechnungstool!$D35="","",Berechnungstool!$D35)</f>
        <v/>
      </c>
      <c r="Y35" s="159" t="str">
        <f>IF(Berechnungstool!$D35="","",Berechnungstool!$D35)</f>
        <v/>
      </c>
      <c r="Z35" s="181">
        <v>1.0680000000000001</v>
      </c>
      <c r="AA35" s="160" t="str">
        <f>IF(Berechnungstool!D35="","",Berechnungstool!D35)</f>
        <v/>
      </c>
      <c r="AF35"/>
      <c r="AI35" s="285" t="s">
        <v>29</v>
      </c>
      <c r="AJ35" s="286"/>
      <c r="AK35" s="287"/>
      <c r="AL35" s="22"/>
      <c r="AM35" s="22"/>
    </row>
    <row r="36" spans="2:39" ht="22.5" customHeight="1" thickBot="1" x14ac:dyDescent="0.4">
      <c r="G36" s="25"/>
      <c r="O36" s="145" t="s">
        <v>265</v>
      </c>
      <c r="P36" s="109" t="s">
        <v>264</v>
      </c>
      <c r="Q36" s="22">
        <v>25</v>
      </c>
      <c r="R36"/>
      <c r="S36" s="181">
        <v>2.2000000000000001E-3</v>
      </c>
      <c r="T36" s="181">
        <v>2.2000000000000001E-3</v>
      </c>
      <c r="U36" s="181">
        <v>0.01</v>
      </c>
      <c r="V36" s="181">
        <v>3.0000000000000001E-3</v>
      </c>
      <c r="W36" s="159" t="str">
        <f>IF(Berechnungstool!$D36="","",Berechnungstool!$D36)</f>
        <v/>
      </c>
      <c r="X36" s="159" t="str">
        <f>IF(Berechnungstool!$D36="","",Berechnungstool!$D36)</f>
        <v/>
      </c>
      <c r="Y36" s="159" t="str">
        <f>IF(Berechnungstool!$D36="","",Berechnungstool!$D36)</f>
        <v/>
      </c>
      <c r="Z36" s="181">
        <v>0.01</v>
      </c>
      <c r="AA36" s="159" t="str">
        <f>IF(Berechnungstool!D36="","",Berechnungstool!D36)</f>
        <v/>
      </c>
      <c r="AF36"/>
      <c r="AI36" s="50" t="s">
        <v>30</v>
      </c>
      <c r="AJ36" s="50" t="s">
        <v>31</v>
      </c>
      <c r="AK36" s="50" t="s">
        <v>32</v>
      </c>
      <c r="AL36" s="22"/>
      <c r="AM36" s="22"/>
    </row>
    <row r="37" spans="2:39" ht="18.75" thickBot="1" x14ac:dyDescent="0.4">
      <c r="B37" s="22" t="s">
        <v>13</v>
      </c>
      <c r="E37" s="22" t="s">
        <v>204</v>
      </c>
      <c r="F37" s="48" t="str">
        <f>HLOOKUP(G17,S12:AF36,12,FALSE)</f>
        <v/>
      </c>
      <c r="G37" s="25"/>
      <c r="L37" s="22" t="s">
        <v>40</v>
      </c>
      <c r="M37" s="25" t="s">
        <v>204</v>
      </c>
      <c r="N37" s="49" t="e">
        <f>IF(F21="SOFC",AJ38*F37,AJ39*F37)</f>
        <v>#VALUE!</v>
      </c>
      <c r="AH37" s="51" t="s">
        <v>33</v>
      </c>
      <c r="AI37" s="52" t="s">
        <v>34</v>
      </c>
      <c r="AJ37" s="52" t="s">
        <v>35</v>
      </c>
      <c r="AK37" s="52" t="s">
        <v>36</v>
      </c>
      <c r="AL37" s="22"/>
      <c r="AM37" s="22"/>
    </row>
    <row r="38" spans="2:39" ht="15" customHeight="1" thickBot="1" x14ac:dyDescent="0.3">
      <c r="F38" s="24"/>
      <c r="G38" s="25"/>
      <c r="AH38" s="53" t="s">
        <v>37</v>
      </c>
      <c r="AI38" s="54">
        <v>1</v>
      </c>
      <c r="AJ38" s="54">
        <v>1</v>
      </c>
      <c r="AK38" s="54">
        <v>1</v>
      </c>
      <c r="AL38" s="22"/>
      <c r="AM38" s="22"/>
    </row>
    <row r="39" spans="2:39" ht="15" customHeight="1" thickBot="1" x14ac:dyDescent="0.4">
      <c r="B39" s="22" t="s">
        <v>14</v>
      </c>
      <c r="E39" s="22" t="s">
        <v>205</v>
      </c>
      <c r="F39" s="32" t="str">
        <f>HLOOKUP(G17,S12:AF36,13,FALSE)</f>
        <v/>
      </c>
      <c r="G39" s="25" t="s">
        <v>22</v>
      </c>
      <c r="L39" s="22" t="s">
        <v>41</v>
      </c>
      <c r="M39" s="25" t="s">
        <v>213</v>
      </c>
      <c r="N39" s="55" t="e">
        <f>IF(F21="SOFC",AK38*F39,AK39*F39)</f>
        <v>#VALUE!</v>
      </c>
      <c r="O39" s="22" t="s">
        <v>22</v>
      </c>
      <c r="AH39" s="53" t="s">
        <v>38</v>
      </c>
      <c r="AI39" s="54">
        <v>1</v>
      </c>
      <c r="AJ39" s="54">
        <v>1</v>
      </c>
      <c r="AK39" s="54">
        <v>1</v>
      </c>
      <c r="AL39" s="22"/>
      <c r="AM39" s="22"/>
    </row>
    <row r="40" spans="2:39" ht="15" customHeight="1" x14ac:dyDescent="0.25">
      <c r="F40" s="24"/>
      <c r="G40" s="25"/>
      <c r="AK40" s="22"/>
      <c r="AL40" s="22"/>
      <c r="AM40" s="22"/>
    </row>
    <row r="41" spans="2:39" ht="15" customHeight="1" x14ac:dyDescent="0.35">
      <c r="B41" s="22" t="s">
        <v>177</v>
      </c>
      <c r="E41" s="22" t="s">
        <v>206</v>
      </c>
      <c r="F41" s="32" t="str">
        <f>HLOOKUP(G17,S12:AF36,14,FALSE)</f>
        <v/>
      </c>
      <c r="G41" s="25" t="s">
        <v>22</v>
      </c>
      <c r="L41" s="22" t="s">
        <v>42</v>
      </c>
      <c r="M41" s="25" t="s">
        <v>214</v>
      </c>
      <c r="N41" s="49" t="e">
        <f>IF(OR(N35="",N37=""),"",N37-N35)</f>
        <v>#VALUE!</v>
      </c>
      <c r="AH41" s="306" t="s">
        <v>49</v>
      </c>
      <c r="AI41" s="307"/>
      <c r="AJ41" s="300" t="s">
        <v>50</v>
      </c>
      <c r="AK41" s="301"/>
      <c r="AL41" s="301"/>
      <c r="AM41" s="302"/>
    </row>
    <row r="42" spans="2:39" ht="18.75" customHeight="1" x14ac:dyDescent="0.25">
      <c r="F42" s="24"/>
      <c r="G42" s="25"/>
      <c r="H42" s="24" t="s">
        <v>406</v>
      </c>
      <c r="AH42" s="56" t="s">
        <v>215</v>
      </c>
      <c r="AI42" s="57" t="s">
        <v>216</v>
      </c>
      <c r="AJ42" s="300" t="s">
        <v>217</v>
      </c>
      <c r="AK42" s="301"/>
      <c r="AL42" s="301"/>
      <c r="AM42" s="302"/>
    </row>
    <row r="43" spans="2:39" ht="19.5" customHeight="1" x14ac:dyDescent="0.35">
      <c r="B43" s="22" t="s">
        <v>15</v>
      </c>
      <c r="E43" s="58" t="s">
        <v>207</v>
      </c>
      <c r="F43" s="59" t="str">
        <f>HLOOKUP(G17,S12:AF36,15,FALSE)</f>
        <v/>
      </c>
      <c r="G43" s="25" t="s">
        <v>27</v>
      </c>
      <c r="L43" s="22" t="s">
        <v>43</v>
      </c>
      <c r="M43" s="25" t="s">
        <v>218</v>
      </c>
      <c r="N43" s="49" t="e">
        <f>IF(F21="SOFC",AJ38*F35*(1+F41/F39)-N35,AJ39*F35*(1+F41/F39)-N35)</f>
        <v>#VALUE!</v>
      </c>
      <c r="AH43" s="291" t="s">
        <v>219</v>
      </c>
      <c r="AI43" s="288">
        <v>0.9</v>
      </c>
      <c r="AJ43" s="294" t="s">
        <v>51</v>
      </c>
      <c r="AK43" s="295"/>
      <c r="AL43" s="295"/>
      <c r="AM43" s="296"/>
    </row>
    <row r="44" spans="2:39" ht="15" customHeight="1" x14ac:dyDescent="0.25">
      <c r="F44" s="24"/>
      <c r="G44" s="25"/>
      <c r="AH44" s="292"/>
      <c r="AI44" s="289"/>
      <c r="AJ44" s="297" t="s">
        <v>220</v>
      </c>
      <c r="AK44" s="298"/>
      <c r="AL44" s="298"/>
      <c r="AM44" s="299"/>
    </row>
    <row r="45" spans="2:39" ht="15" customHeight="1" x14ac:dyDescent="0.35">
      <c r="B45" s="22" t="str">
        <f>IF(F23="ja","untere Modulationsgrenze","")</f>
        <v/>
      </c>
      <c r="E45" s="22" t="s">
        <v>221</v>
      </c>
      <c r="F45" s="59" t="str">
        <f>IF(F23="ja",HLOOKUP(G17,S12:AF36,16,FALSE),"")</f>
        <v/>
      </c>
      <c r="G45" s="25" t="str">
        <f>IF(F23="ja","kW","")</f>
        <v/>
      </c>
      <c r="L45" s="22" t="s">
        <v>46</v>
      </c>
      <c r="M45" s="25" t="s">
        <v>222</v>
      </c>
      <c r="N45" s="60" t="str">
        <f>IF(OR(N35="",N35=0,F21="",F39=""),"",IF(F21="SOFC",N41/N35*AK38*F39, N41/N35*AK39*F39))</f>
        <v/>
      </c>
      <c r="O45" s="22" t="s">
        <v>22</v>
      </c>
      <c r="AH45" s="292"/>
      <c r="AI45" s="290"/>
      <c r="AJ45" s="303" t="s">
        <v>223</v>
      </c>
      <c r="AK45" s="304"/>
      <c r="AL45" s="304"/>
      <c r="AM45" s="305"/>
    </row>
    <row r="46" spans="2:39" ht="15" customHeight="1" x14ac:dyDescent="0.25">
      <c r="F46" s="24"/>
      <c r="G46" s="25"/>
      <c r="AH46" s="292"/>
      <c r="AI46" s="288">
        <v>1</v>
      </c>
      <c r="AJ46" s="294" t="s">
        <v>51</v>
      </c>
      <c r="AK46" s="295"/>
      <c r="AL46" s="295"/>
      <c r="AM46" s="296"/>
    </row>
    <row r="47" spans="2:39" ht="15" customHeight="1" x14ac:dyDescent="0.35">
      <c r="B47" s="22" t="str">
        <f>IF(F23="ja","therm. Nettowirkungsgrad bei unt. MG","")</f>
        <v/>
      </c>
      <c r="E47" s="22" t="str">
        <f>IF(F23="ja","ƞth,CHP,w,Pint,lower,BOL","")</f>
        <v/>
      </c>
      <c r="F47" s="61" t="str">
        <f>IF(F23="ja",HLOOKUP(G17,S12:AF36,17,FALSE),"")</f>
        <v/>
      </c>
      <c r="G47" s="25"/>
      <c r="L47" s="22" t="s">
        <v>47</v>
      </c>
      <c r="M47" s="25" t="s">
        <v>224</v>
      </c>
      <c r="N47" s="62" t="e">
        <f>IF(F21="SOFC",N43/N35*AK38*F39, N43/N35*AK39*F39)</f>
        <v>#VALUE!</v>
      </c>
      <c r="O47" s="22" t="s">
        <v>22</v>
      </c>
      <c r="AH47" s="292"/>
      <c r="AI47" s="289"/>
      <c r="AJ47" s="297" t="s">
        <v>225</v>
      </c>
      <c r="AK47" s="298"/>
      <c r="AL47" s="298"/>
      <c r="AM47" s="299"/>
    </row>
    <row r="48" spans="2:39" ht="15" customHeight="1" x14ac:dyDescent="0.25">
      <c r="F48" s="24"/>
      <c r="G48" s="25"/>
      <c r="AH48" s="292"/>
      <c r="AI48" s="290"/>
      <c r="AJ48" s="303" t="s">
        <v>226</v>
      </c>
      <c r="AK48" s="304"/>
      <c r="AL48" s="304"/>
      <c r="AM48" s="305"/>
    </row>
    <row r="49" spans="2:39" ht="15" customHeight="1" x14ac:dyDescent="0.35">
      <c r="B49" s="22" t="str">
        <f>IF(F23="ja","elektr. Leistung bei unterer MG","")</f>
        <v/>
      </c>
      <c r="E49" s="22" t="str">
        <f>IF(F23="ja","Pel,CHP,Pint,lower,BOL","")</f>
        <v/>
      </c>
      <c r="F49" s="59" t="str">
        <f>IF(F23="ja",HLOOKUP(G17,S12:AF36,18,FALSE),"")</f>
        <v/>
      </c>
      <c r="G49" s="25" t="str">
        <f>IF(F49="","","kW")</f>
        <v/>
      </c>
      <c r="H49" s="24" t="e">
        <f>(F49/F51)*F47</f>
        <v>#VALUE!</v>
      </c>
      <c r="I49" s="25" t="e">
        <f>H49*0.9</f>
        <v>#VALUE!</v>
      </c>
      <c r="L49" s="22" t="s">
        <v>48</v>
      </c>
      <c r="M49" s="25" t="s">
        <v>227</v>
      </c>
      <c r="N49" s="55" t="e">
        <f>IF(OR(F39="-"),"-",IF(F19="-","-",IF(F33="Bitte eintragen",IF(AND(H33/N45&lt;=150,K6&gt;=0.3*N45),AI43*F25/24*N45,AI46*F25/24*N45),IF(AND(F33/N45&lt;=150,K6&gt;=0.3*N45),AI43*F25/24*N45,AI46*F25/24*N45))))</f>
        <v>#VALUE!</v>
      </c>
      <c r="P49" s="37" t="str">
        <f>IF(Berechnungstool!H17="","",IF(OR(N49&lt;0.3,N49&gt;5),"Nicht im Gültigkeitsbereich",""))</f>
        <v/>
      </c>
      <c r="AH49" s="293"/>
      <c r="AI49" s="57">
        <v>1</v>
      </c>
      <c r="AJ49" s="300" t="s">
        <v>52</v>
      </c>
      <c r="AK49" s="301"/>
      <c r="AL49" s="301"/>
      <c r="AM49" s="302"/>
    </row>
    <row r="50" spans="2:39" x14ac:dyDescent="0.25">
      <c r="F50" s="24"/>
      <c r="G50" s="25"/>
      <c r="I50" s="25" t="e">
        <f>H49*1.1</f>
        <v>#VALUE!</v>
      </c>
    </row>
    <row r="51" spans="2:39" x14ac:dyDescent="0.25">
      <c r="B51" s="22" t="str">
        <f>IF(F23="ja","elektr. Nettowirkungsgrad bei unt. MG","")</f>
        <v/>
      </c>
      <c r="E51" s="22" t="str">
        <f>IF(F23="ja","ƞel,CHP,w,Pint,lower,BOL","")</f>
        <v/>
      </c>
      <c r="F51" s="61" t="str">
        <f>IF(F23="ja",HLOOKUP(G17,S12:AF36,19,FALSE),"")</f>
        <v/>
      </c>
      <c r="G51" s="25"/>
      <c r="R51" s="25"/>
    </row>
    <row r="52" spans="2:39" x14ac:dyDescent="0.25">
      <c r="F52" s="24"/>
      <c r="G52" s="25"/>
      <c r="O52" s="26" t="s">
        <v>72</v>
      </c>
      <c r="R52" s="25"/>
    </row>
    <row r="53" spans="2:39" x14ac:dyDescent="0.25">
      <c r="R53" s="25"/>
    </row>
    <row r="54" spans="2:39" ht="18" x14ac:dyDescent="0.25">
      <c r="P54" s="22" t="s">
        <v>55</v>
      </c>
      <c r="R54" s="63" t="s">
        <v>228</v>
      </c>
      <c r="S54" s="55" t="str">
        <f>IF(F23="ja",F45/F41,"Gerät moduliert nicht")</f>
        <v>Gerät moduliert nicht</v>
      </c>
    </row>
    <row r="55" spans="2:39" ht="18.75" x14ac:dyDescent="0.3">
      <c r="B55" s="23" t="s">
        <v>128</v>
      </c>
      <c r="E55" s="22" t="s">
        <v>139</v>
      </c>
      <c r="F55" s="128" t="str">
        <f>IF(H65&lt;&gt;"",H65,IF(H66&lt;&gt;"",H66,IF(Berechnungstool!B39="Bitte Gebäudedaten eintragen","Gebäudedaten fehlen",IF(Berechnungstool!F16="Bitte Brennstoffzellendaten laden","Brennstoffzellendaten fehlen",IF(Berechnungstool!D40="Wirkungsgrad nicht im Gültigkeitsbereich","Spitzenlastwärmeerzeuger",IF(OR(Berechnungstool!H28="Nicht im Gültigkeitsbereich",AND(Berechnungstool!H27="",Berechnungstool!G27="Volumen in [l]:",Berechnungstool!H29&lt;&gt;"")),"Wärmespeichervolumen",IF(Berechnungstool!H40="Thermische Leistung der BZ nicht im Gültigkeitsbereich","Thermische Leistung der BZ",IF(OR(Berechnungstool!H40="Überprüfen Sie die Kennwerte bei unterer Modulationsgrenze",Berechnungstool!H40="Bitte Brennstoffzellenkennwerte eintragen"),"Brennstoffzellenkennwerte",IF(Berechnungstool!B39="Bitte Daten eintragen","Spitzenlastwärmeerzeuger",IF(OR(Berechnungstool!D39="Geräteleistung für den 
Auslegungsfall zu niedrig!",Berechnungstool!D40="Wirkungsgrad nicht im Gültigkeitsbereich"),"Spitzenlastwärmeerzeuger",IF(Berechnungstool!D26&lt;&gt;"","Gebäude-/Anlagendaten",IF(OR(Berechnungstool!B39="Zuerst BZ-Daten laden",Berechnungstool!B39="Bitte Daten laden",Berechnungstool!B39="Bitte Netznutzungsgrad eintragen"),"Spitzenlastwärmeerzeuger","-"))))))))))))</f>
        <v>-</v>
      </c>
      <c r="I55" s="23" t="s">
        <v>129</v>
      </c>
      <c r="R55" s="25"/>
    </row>
    <row r="56" spans="2:39" ht="18" x14ac:dyDescent="0.25">
      <c r="P56" s="22" t="s">
        <v>56</v>
      </c>
      <c r="R56" s="63" t="s">
        <v>229</v>
      </c>
      <c r="S56" s="55" t="str">
        <f>IF(F23="ja",IF(OR(F49="",F49="-",F49=0),MAX(-0.905*S54^2+2.307*S54-0.402,0),"Berechnung mit Produktkennwerten"),"Gerät moduliert nicht")</f>
        <v>Gerät moduliert nicht</v>
      </c>
    </row>
    <row r="57" spans="2:39" ht="15.75" thickBot="1" x14ac:dyDescent="0.3">
      <c r="B57" s="22" t="s">
        <v>124</v>
      </c>
      <c r="E57" s="22" t="s">
        <v>96</v>
      </c>
      <c r="F57" s="65" t="str">
        <f>IF(ISERROR(S88),"",IF(F55="-",Tabelle1!S72,1))</f>
        <v/>
      </c>
      <c r="I57" s="25" t="s">
        <v>131</v>
      </c>
      <c r="J57" s="55" t="str">
        <f>IF(ISERROR(S88),"",IF(F55="-",IF(S62="ja","Ohne Modulation",IF(S63="ja","Mit Modulation","nein")),""))</f>
        <v/>
      </c>
      <c r="R57" s="25"/>
    </row>
    <row r="58" spans="2:39" ht="18.75" thickTop="1" x14ac:dyDescent="0.35">
      <c r="I58" s="25" t="s">
        <v>75</v>
      </c>
      <c r="J58" s="66" t="str">
        <f>IF(ISERROR(S88),"",IF(F55="-",S68,""))</f>
        <v/>
      </c>
      <c r="P58" s="22" t="s">
        <v>125</v>
      </c>
      <c r="R58" s="25" t="s">
        <v>230</v>
      </c>
      <c r="S58" s="55" t="str">
        <f>IF(S56="Gerät moduliert nicht","Gerät moduliert nicht",IF(AND(OR(F49="",F49="-",F49=0),F23="ja"),S56*N39,IF(F21="SOFC",F49*AK38,F49*AK39)))</f>
        <v>Gerät moduliert nicht</v>
      </c>
      <c r="T58" s="22" t="s">
        <v>22</v>
      </c>
      <c r="AB58" s="22" t="s">
        <v>78</v>
      </c>
    </row>
    <row r="59" spans="2:39" ht="18.75" thickBot="1" x14ac:dyDescent="0.4">
      <c r="B59" s="22" t="s">
        <v>17</v>
      </c>
      <c r="E59" s="27" t="s">
        <v>231</v>
      </c>
      <c r="F59" s="67" t="str">
        <f>IF(ISERROR(S88),"",IF(F55="-",Tabelle1!S81,""))</f>
        <v/>
      </c>
      <c r="I59" s="25" t="s">
        <v>130</v>
      </c>
      <c r="J59" s="68" t="e">
        <f>IF(F55="-",S80,"")</f>
        <v>#VALUE!</v>
      </c>
      <c r="R59" s="25"/>
      <c r="AB59" s="22" t="s">
        <v>79</v>
      </c>
      <c r="AC59" s="22" t="s">
        <v>80</v>
      </c>
      <c r="AD59" s="22">
        <v>1</v>
      </c>
      <c r="AE59" s="22" t="s">
        <v>81</v>
      </c>
      <c r="AF59" s="22" t="s">
        <v>82</v>
      </c>
    </row>
    <row r="60" spans="2:39" ht="18.75" thickTop="1" x14ac:dyDescent="0.35">
      <c r="P60" s="22" t="s">
        <v>54</v>
      </c>
      <c r="R60" s="22" t="s">
        <v>232</v>
      </c>
      <c r="S60" s="55" t="e">
        <f>IF(OR(F49="",F49="-",F49=0),IF(F23="nein","Gerät moduliert nicht",(N43/N35)*S58),(F47/F51)*F49*(IF(F21="SOFC",AK38,AK39)))</f>
        <v>#VALUE!</v>
      </c>
      <c r="T60" s="22" t="s">
        <v>22</v>
      </c>
    </row>
    <row r="61" spans="2:39" ht="18.75" thickBot="1" x14ac:dyDescent="0.4">
      <c r="B61" s="22" t="s">
        <v>16</v>
      </c>
      <c r="E61" s="27" t="s">
        <v>233</v>
      </c>
      <c r="F61" s="67" t="str">
        <f>IF(ISERROR(S88),"",IF(F55="-",Tabelle1!S82,""))</f>
        <v/>
      </c>
      <c r="I61" s="25" t="s">
        <v>169</v>
      </c>
      <c r="J61" s="55"/>
      <c r="O61" s="26" t="s">
        <v>69</v>
      </c>
      <c r="R61" s="25"/>
      <c r="AB61" s="22" t="s">
        <v>98</v>
      </c>
      <c r="AD61" s="22" t="s">
        <v>99</v>
      </c>
      <c r="AE61" s="22" t="s">
        <v>80</v>
      </c>
      <c r="AF61" s="22">
        <v>0.7</v>
      </c>
      <c r="AG61" s="22" t="s">
        <v>81</v>
      </c>
      <c r="AH61" s="22" t="s">
        <v>100</v>
      </c>
    </row>
    <row r="62" spans="2:39" ht="16.5" thickTop="1" thickBot="1" x14ac:dyDescent="0.3">
      <c r="P62" s="22" t="s">
        <v>70</v>
      </c>
      <c r="R62" s="25"/>
      <c r="S62" s="69" t="e">
        <f>IF(AND(K6&gt;=N47,F25=24,OR(F10&lt;=F27,F27=0)),"ja","nein")</f>
        <v>#VALUE!</v>
      </c>
      <c r="AB62" s="70"/>
      <c r="AC62" s="71" t="s">
        <v>84</v>
      </c>
      <c r="AD62" s="71" t="s">
        <v>85</v>
      </c>
      <c r="AE62" s="71" t="s">
        <v>86</v>
      </c>
      <c r="AF62" s="72" t="s">
        <v>87</v>
      </c>
      <c r="AG62" s="71" t="s">
        <v>24</v>
      </c>
      <c r="AH62" s="71" t="s">
        <v>88</v>
      </c>
    </row>
    <row r="63" spans="2:39" ht="21" thickBot="1" x14ac:dyDescent="0.4">
      <c r="B63" s="22" t="s">
        <v>18</v>
      </c>
      <c r="E63" s="73" t="s">
        <v>234</v>
      </c>
      <c r="F63" s="94" t="str">
        <f>IF(ISERROR(S88),"",IF(F55="-",IF(AJ2=1,"",S88),""))</f>
        <v/>
      </c>
      <c r="G63" s="238" t="str">
        <f>F63</f>
        <v/>
      </c>
      <c r="P63" s="22" t="s">
        <v>71</v>
      </c>
      <c r="R63" s="25"/>
      <c r="S63" s="69" t="e">
        <f>IF(F23="nein","Gerät moduliert nicht",IF(S62="ja","keine Modulation erforderlich",IF(AND(K6&gt;=S60,F25=24,OR(F10&lt;=F27,F27="-",F27=0)),"ja","nein")))</f>
        <v>#VALUE!</v>
      </c>
      <c r="AB63" s="74" t="s">
        <v>235</v>
      </c>
      <c r="AC63" s="75">
        <v>3493.0020277025083</v>
      </c>
      <c r="AD63" s="76">
        <v>0.54918903480795178</v>
      </c>
      <c r="AE63" s="76">
        <v>-2.2059293705414094</v>
      </c>
      <c r="AF63" s="77">
        <v>291.6988443132895</v>
      </c>
      <c r="AG63" s="76">
        <v>0.5279547326120877</v>
      </c>
      <c r="AH63" s="76">
        <v>-0.14996201072257045</v>
      </c>
    </row>
    <row r="64" spans="2:39" ht="19.5" thickTop="1" thickBot="1" x14ac:dyDescent="0.3">
      <c r="P64" s="22" t="s">
        <v>73</v>
      </c>
      <c r="R64" s="63" t="s">
        <v>236</v>
      </c>
      <c r="S64" s="69" t="str">
        <f>IF(F23="ja",IF(S62="ja","keine Modulation erforderlich",IF(S63="ja",K6/N47,"Leistung unter der Modulationsgrenze")),"Gerät moduliert nicht")</f>
        <v>Gerät moduliert nicht</v>
      </c>
      <c r="AB64" s="74" t="s">
        <v>237</v>
      </c>
      <c r="AC64" s="78">
        <v>906.07320000000004</v>
      </c>
      <c r="AD64" s="78">
        <v>0.41389999999999999</v>
      </c>
      <c r="AE64" s="78">
        <v>-1.8707</v>
      </c>
      <c r="AF64" s="79">
        <v>84.522599999999997</v>
      </c>
      <c r="AG64" s="78">
        <v>0.32629999999999998</v>
      </c>
      <c r="AH64" s="78">
        <v>-0.3</v>
      </c>
    </row>
    <row r="65" spans="2:33" ht="19.5" thickBot="1" x14ac:dyDescent="0.4">
      <c r="E65" s="258" t="s">
        <v>439</v>
      </c>
      <c r="F65" s="94" t="str">
        <f>IF(ISERROR(S88),"",IF(AJ2=3,S88/((F6/F4)*1.14+((F4-F6)/F4)*1.01),""))</f>
        <v/>
      </c>
      <c r="G65" s="22" t="s">
        <v>402</v>
      </c>
      <c r="H65" s="183" t="str">
        <f>IF(Berechnungstool!D21="","",VLOOKUP(Berechnungstool!D21,F69:G78,2,FALSE))</f>
        <v/>
      </c>
      <c r="P65" s="22" t="s">
        <v>74</v>
      </c>
      <c r="R65" s="22" t="s">
        <v>238</v>
      </c>
      <c r="S65" s="69" t="b">
        <f>IF(F23="nein","Gerät moduliert nicht",IF(F23="ja",IF(S62="ja","keine Modulation erforderlich",IF(S63="ja",N39-(N39-S58)/(1-S60/N47)*(1-S64),"Leistung unter der Modulationsgrenze"))))</f>
        <v>0</v>
      </c>
      <c r="U65" s="80" t="e">
        <f>N39-((N39-S58)/(1-S60/N47))*(1-S64)</f>
        <v>#VALUE!</v>
      </c>
    </row>
    <row r="66" spans="2:33" ht="15.75" thickTop="1" x14ac:dyDescent="0.25">
      <c r="G66" s="22" t="s">
        <v>403</v>
      </c>
      <c r="H66" s="184" t="str">
        <f>IF(Berechnungstool!D23="","",VLOOKUP(Berechnungstool!D23,F69:G78,2,FALSE))</f>
        <v/>
      </c>
      <c r="O66" s="26" t="s">
        <v>75</v>
      </c>
      <c r="R66" s="25"/>
      <c r="AB66" s="276"/>
      <c r="AC66" s="279" t="s">
        <v>89</v>
      </c>
      <c r="AD66" s="280"/>
      <c r="AE66" s="281"/>
    </row>
    <row r="67" spans="2:33" ht="18.75" thickBot="1" x14ac:dyDescent="0.3">
      <c r="P67" s="22" t="s">
        <v>76</v>
      </c>
      <c r="R67" s="63" t="s">
        <v>201</v>
      </c>
      <c r="S67" s="55">
        <f>IF(AND(OR(F31="-",F31=0),F29="ja",F23="ja"),AD59*F45,IF(AND(OR(F31="-",F31=0),F29="ja",F23="nein"),N47,IF(F29="ja",F31,0)))</f>
        <v>0</v>
      </c>
      <c r="T67" s="22" t="s">
        <v>22</v>
      </c>
      <c r="AB67" s="277"/>
      <c r="AC67" s="282" t="s">
        <v>239</v>
      </c>
      <c r="AD67" s="283"/>
      <c r="AE67" s="284"/>
    </row>
    <row r="68" spans="2:33" ht="15.75" thickBot="1" x14ac:dyDescent="0.3">
      <c r="F68" s="24" t="s">
        <v>404</v>
      </c>
      <c r="P68" s="22" t="s">
        <v>77</v>
      </c>
      <c r="R68" s="25"/>
      <c r="S68" s="66" t="e">
        <f>IF(U68&lt;=0,"nein","ja")</f>
        <v>#VALUE!</v>
      </c>
      <c r="T68" s="22" t="e">
        <f>IF(S68="ja","Dauer:","")</f>
        <v>#VALUE!</v>
      </c>
      <c r="U68" s="80" t="e">
        <f>IF(OR(S62="ja",S63="ja",S67&lt;=K6),0,IF(F29="ja",IF(F33="Bitte eintragen",MAX(365-K8-H33/100*0.485*(1/(S67-K6)+1/K6),0),MAX(365-K8-F33/100*0.485*(1/(S67-K6)+1/K6),0)),0))</f>
        <v>#VALUE!</v>
      </c>
      <c r="AB68" s="278"/>
      <c r="AC68" s="52" t="s">
        <v>90</v>
      </c>
      <c r="AD68" s="52" t="s">
        <v>91</v>
      </c>
      <c r="AE68" s="52" t="s">
        <v>92</v>
      </c>
    </row>
    <row r="69" spans="2:33" ht="15.75" thickBot="1" x14ac:dyDescent="0.3">
      <c r="F69" s="24" t="str">
        <f>"Gesamter Wärmeenergiebedarf nicht im Gültigkeitsbereich"</f>
        <v>Gesamter Wärmeenergiebedarf nicht im Gültigkeitsbereich</v>
      </c>
      <c r="G69" s="25" t="str">
        <f>"Gesamter Wärmeenergiebedarf"</f>
        <v>Gesamter Wärmeenergiebedarf</v>
      </c>
      <c r="H69" s="22"/>
      <c r="O69" s="26" t="s">
        <v>83</v>
      </c>
      <c r="R69" s="25"/>
      <c r="AB69" s="81" t="s">
        <v>86</v>
      </c>
      <c r="AC69" s="52">
        <v>0.95</v>
      </c>
      <c r="AD69" s="52">
        <v>0.9</v>
      </c>
      <c r="AE69" s="52">
        <v>0.86</v>
      </c>
    </row>
    <row r="70" spans="2:33" x14ac:dyDescent="0.25">
      <c r="B70" s="26"/>
      <c r="F70" s="24" t="str">
        <f>"Wärmeenergiebedarf Heizung nicht im Gültigkeitsbereich"</f>
        <v>Wärmeenergiebedarf Heizung nicht im Gültigkeitsbereich</v>
      </c>
      <c r="G70" s="25" t="str">
        <f>"Wärmeenergiebedarf Heizung"</f>
        <v>Wärmeenergiebedarf Heizung</v>
      </c>
      <c r="R70" s="22" t="s">
        <v>93</v>
      </c>
      <c r="S70" s="82" t="e">
        <f>MIN(IF(N47&lt;=N45*AF61,((((AC63*N49)^AD63+(F10^AE63)*((AF63*F6)/F4)^2)/(F4^AG63))+AH63),((((AC64*N49)^AD64+(F10^AE64)*((AF64*F6)/F4)^2)/(F4^AG64))+AH64)),N49*8700/F4,1)</f>
        <v>#VALUE!</v>
      </c>
      <c r="T70" s="22" t="e">
        <f>((((AC64*N49)^AD64+(F10^AE64)*((AF64*F6)/F4)^2)/(F4^AG64))+AH64)</f>
        <v>#VALUE!</v>
      </c>
      <c r="U70" s="257" t="e">
        <f>N49*8700/F4</f>
        <v>#VALUE!</v>
      </c>
      <c r="V70" s="22" t="e">
        <f>((((AC64*N49)^AD64+(F10^AE64)*((AF64*F6)/F4)^2)/(F4^AG64))+AH64)</f>
        <v>#VALUE!</v>
      </c>
    </row>
    <row r="71" spans="2:33" ht="15.75" thickBot="1" x14ac:dyDescent="0.3">
      <c r="F71" s="24" t="str">
        <f>"Wärmeenergiebedarf TWW nicht im Gültigkeitsbereich"</f>
        <v>Wärmeenergiebedarf TWW nicht im Gültigkeitsbereich</v>
      </c>
      <c r="G71" s="25" t="str">
        <f>"Wärmeenergiebedarf TWW"</f>
        <v>Wärmeenergiebedarf TWW</v>
      </c>
      <c r="Q71" s="22" t="s">
        <v>95</v>
      </c>
      <c r="R71" s="22" t="s">
        <v>94</v>
      </c>
      <c r="S71" s="82" t="e">
        <f>IF(OR(F27="-",F27="",F27=0),S70,MIN(IF(AND(F27&gt;0,F10-F27&gt;0,F10-F27&lt;=5),S70*AC69,IF(AND(F27&gt;0,F10-F27&gt;5,F10-F27&lt;=10),AD69*S70,IF(AND(F27&gt;0,F10-F27&gt;10),AE69*S70,S70))),1))</f>
        <v>#VALUE!</v>
      </c>
    </row>
    <row r="72" spans="2:33" ht="15.75" thickBot="1" x14ac:dyDescent="0.3">
      <c r="F72" s="24" t="str">
        <f>"Erzeugernutzwärmeabgabe an das Gebäude nicht im Gültigkeitsbereich"</f>
        <v>Erzeugernutzwärmeabgabe an das Gebäude nicht im Gültigkeitsbereich</v>
      </c>
      <c r="G72" s="25" t="str">
        <f>"Erzeugernutzwärmeabgabe an das Gebäude"</f>
        <v>Erzeugernutzwärmeabgabe an das Gebäude</v>
      </c>
      <c r="Q72" s="22" t="s">
        <v>97</v>
      </c>
      <c r="R72" s="22" t="s">
        <v>96</v>
      </c>
      <c r="S72" s="82" t="str">
        <f>IF(OR(F23="-",F25="",F4="",F29="",AND(F29="ja",F31=""),F35="",F39="",F41="",AND(F23="ja",F43=""),AND(F23="ja",F45=""),AND(F23="ja",F47=""),AND(F23="ja",F49=""),AND(F23="ja",F51=""),F37=""),"",IF(F33="Bitte eintragen",IF(S68="ja",S71-(MAX(0,((365-K8-((H33/100)*0.485*(1/(S67-K6)+1/K6)))))*24*K6)/F4,S71),IF(S68="ja",S71-(MAX(0,((365-K8-((F33/100)*0.485*(1/(S67-K6)+1/K6)))))*24*K6)/F4,S71)))</f>
        <v/>
      </c>
      <c r="AB72" s="70"/>
      <c r="AC72" s="71" t="s">
        <v>26</v>
      </c>
      <c r="AD72" s="71" t="s">
        <v>101</v>
      </c>
      <c r="AE72" s="71" t="s">
        <v>102</v>
      </c>
      <c r="AF72" s="72" t="s">
        <v>103</v>
      </c>
      <c r="AG72" s="71" t="s">
        <v>104</v>
      </c>
    </row>
    <row r="73" spans="2:33" ht="18.75" thickBot="1" x14ac:dyDescent="0.3">
      <c r="F73" s="24" t="str">
        <f>"Erzeugernutzwärmeabgabe Heizung nicht im Gültigkeitsbereich"</f>
        <v>Erzeugernutzwärmeabgabe Heizung nicht im Gültigkeitsbereich</v>
      </c>
      <c r="G73" s="25" t="str">
        <f>"Erzeugernutzwärmeabgabe Heizung"</f>
        <v>Erzeugernutzwärmeabgabe Heizung</v>
      </c>
      <c r="O73" s="26" t="s">
        <v>108</v>
      </c>
      <c r="R73" s="25"/>
      <c r="AB73" s="74" t="s">
        <v>235</v>
      </c>
      <c r="AC73" s="76">
        <v>-2.2000000000000001E-4</v>
      </c>
      <c r="AD73" s="76">
        <v>-2.4556</v>
      </c>
      <c r="AE73" s="76">
        <v>-1.736E-2</v>
      </c>
      <c r="AF73" s="77">
        <v>14.974399999999999</v>
      </c>
      <c r="AG73" s="76">
        <v>-0.30509999999999998</v>
      </c>
    </row>
    <row r="74" spans="2:33" ht="18" x14ac:dyDescent="0.35">
      <c r="F74" s="24" t="str">
        <f>"Erzeugernutzwärmeabgabe für TWW nicht im Gültigkeitsbereich"</f>
        <v>Erzeugernutzwärmeabgabe für TWW nicht im Gültigkeitsbereich</v>
      </c>
      <c r="G74" s="25" t="str">
        <f>"Erzeugernutzwärmeabgabe für TWW"</f>
        <v>Erzeugernutzwärmeabgabe für TWW</v>
      </c>
      <c r="Q74" s="22" t="s">
        <v>105</v>
      </c>
      <c r="R74" s="22" t="s">
        <v>240</v>
      </c>
      <c r="S74" s="87" t="e">
        <f>IF(K6&gt;=N47,MIN(N49*8700,F4*S72),S72*F4)</f>
        <v>#VALUE!</v>
      </c>
      <c r="T74" s="22" t="s">
        <v>19</v>
      </c>
    </row>
    <row r="75" spans="2:33" ht="18" x14ac:dyDescent="0.35">
      <c r="F75" s="24" t="str">
        <f>"Gesamter Wärmeenergiebedarf für die gewählte BZ zu hoch"</f>
        <v>Gesamter Wärmeenergiebedarf für die gewählte BZ zu hoch</v>
      </c>
      <c r="G75" s="25" t="str">
        <f>"Gesamter Wärmeenergiebedarf"</f>
        <v>Gesamter Wärmeenergiebedarf</v>
      </c>
      <c r="Q75" s="22" t="s">
        <v>106</v>
      </c>
      <c r="R75" s="22" t="s">
        <v>241</v>
      </c>
      <c r="S75" s="96" t="e">
        <f>IF(N47&lt;=N45*AF61,(AC73*F4*S70+AD73)^2/(AE73*N49+AF73)+AG73,"-")</f>
        <v>#VALUE!</v>
      </c>
      <c r="T75" s="22" t="s">
        <v>22</v>
      </c>
      <c r="U75" s="22" t="e">
        <f>IF(S75="-","Wird zur weiteren Berechnung nicht benötigt","")</f>
        <v>#VALUE!</v>
      </c>
    </row>
    <row r="76" spans="2:33" x14ac:dyDescent="0.25">
      <c r="F76" s="24" t="str">
        <f>"Gesamter Wärmeenergiebedarf für die gewählte BZ zu gering"</f>
        <v>Gesamter Wärmeenergiebedarf für die gewählte BZ zu gering</v>
      </c>
      <c r="G76" s="25" t="str">
        <f>"Gesamter Wärmeenergiebedarf"</f>
        <v>Gesamter Wärmeenergiebedarf</v>
      </c>
      <c r="O76" s="26" t="s">
        <v>107</v>
      </c>
      <c r="R76" s="25"/>
    </row>
    <row r="77" spans="2:33" ht="18" x14ac:dyDescent="0.35">
      <c r="F77" s="24" t="str">
        <f>"Erzeugernutzwärmeabgabe an das Gebäude für die gewählte BZ zu hoch"</f>
        <v>Erzeugernutzwärmeabgabe an das Gebäude für die gewählte BZ zu hoch</v>
      </c>
      <c r="G77" s="25" t="str">
        <f>"Erzeugernutzwärmeabgabe an das Gebäude"</f>
        <v>Erzeugernutzwärmeabgabe an das Gebäude</v>
      </c>
      <c r="R77" s="25" t="s">
        <v>242</v>
      </c>
      <c r="S77" s="83" t="e">
        <f>MAX(IF(N47&lt;=N45*AF61,(S75*N41)/(0.94*N49)-0.0005,F6/F4*N43+N41*(0.92*(F4-F6)/F4+0.0009*(30-F10))),N43)</f>
        <v>#VALUE!</v>
      </c>
      <c r="T77" s="22" t="e">
        <f>IF(N47&lt;=N45*AF61,(S75*N41)/(0.94*N49)-0.0005,F6/F4*N43+N41*(0.92*(F4-F6)/F4+0.0009*(30-F10)))</f>
        <v>#VALUE!</v>
      </c>
    </row>
    <row r="78" spans="2:33" x14ac:dyDescent="0.25">
      <c r="F78" s="24" t="str">
        <f>"Erzeugernutzwärmeabgabe an das Gebäude für die gewählte BZ zu gering"</f>
        <v>Erzeugernutzwärmeabgabe an das Gebäude für die gewählte BZ zu gering</v>
      </c>
      <c r="G78" s="25" t="str">
        <f>"Erzeugernutzwärmeabgabe an das Gebäude"</f>
        <v>Erzeugernutzwärmeabgabe an das Gebäude</v>
      </c>
      <c r="O78" s="26" t="s">
        <v>111</v>
      </c>
      <c r="R78" s="25"/>
    </row>
    <row r="79" spans="2:33" x14ac:dyDescent="0.25">
      <c r="R79" s="25"/>
      <c r="V79" s="22" t="e">
        <f>(S74/S77)*N35</f>
        <v>#VALUE!</v>
      </c>
    </row>
    <row r="80" spans="2:33" ht="18" x14ac:dyDescent="0.35">
      <c r="P80" s="22" t="s">
        <v>109</v>
      </c>
      <c r="R80" s="22" t="s">
        <v>243</v>
      </c>
      <c r="S80" s="93" t="e">
        <f>MAX(0,IF(F33="Bitte eintragen",ROUND(IF(OR(S62="ja",S63="ja"),0,IF(F25&lt;24,IF(S68="ja",365-U68,365),IF(OR(S68="ja",AND(F10&gt;F27,F27&gt;0,F25=24)),1,IF(F23="ja",(365-K8)/(H33/100*0.24*(1/(S60-K6)+1/K6)),(365-K8)/(H33/100*0.24*(1/(F41-K6)+1/K6)))))),0),ROUND(IF(OR(S62="ja",S63="ja"),0,IF(F25&lt;24,IF(S68="ja",365-U68,365),IF(OR(S68="ja",AND(F10&gt;F27,F27&gt;0,F25=24)),1,IF(F23="ja",(365-K8)/(F33/100*0.24*(1/(S60-K6)+1/K6)),(365-K8)/(F33/100*0.24*(1/(F41-K6)+1/K6)))))),0)))</f>
        <v>#VALUE!</v>
      </c>
      <c r="U80" s="22" t="s">
        <v>249</v>
      </c>
      <c r="AB80" s="34"/>
      <c r="AC80" s="34"/>
      <c r="AD80" s="34" t="s">
        <v>117</v>
      </c>
      <c r="AE80" s="34" t="s">
        <v>118</v>
      </c>
      <c r="AF80" s="34" t="s">
        <v>119</v>
      </c>
      <c r="AG80" s="34"/>
    </row>
    <row r="81" spans="8:33" ht="18" x14ac:dyDescent="0.35">
      <c r="P81" s="22" t="s">
        <v>110</v>
      </c>
      <c r="R81" s="27" t="s">
        <v>231</v>
      </c>
      <c r="S81" s="86" t="e">
        <f>IF(AND(F25=24,OR(F27="-",F27=0,F10&lt;=F27),S62="ja"),N39*8700,IF(AND(F25=24,OR(F27="-",F27=0,F10&lt;=F27),S63="ja"),N39*K8*24+(8700-K8*24)*S65,MIN((N35/S77*S74),(8700*N39),(365*F25*N39))-F43*S80))</f>
        <v>#VALUE!</v>
      </c>
      <c r="T81" s="22" t="s">
        <v>19</v>
      </c>
      <c r="U81" s="88" t="e">
        <f>N39*K8*24+(8700-K8*24)*S65</f>
        <v>#VALUE!</v>
      </c>
      <c r="V81" s="89"/>
      <c r="W81" s="22" t="s">
        <v>248</v>
      </c>
      <c r="AB81" s="34" t="s">
        <v>116</v>
      </c>
      <c r="AC81" s="34"/>
      <c r="AD81" s="34">
        <v>1.1000000000000001</v>
      </c>
      <c r="AE81" s="34">
        <v>2.8</v>
      </c>
      <c r="AF81" s="34">
        <v>2.4</v>
      </c>
      <c r="AG81" s="34"/>
    </row>
    <row r="82" spans="8:33" ht="18" x14ac:dyDescent="0.35">
      <c r="P82" s="22" t="s">
        <v>16</v>
      </c>
      <c r="R82" s="27" t="s">
        <v>233</v>
      </c>
      <c r="S82" s="86" t="e">
        <f>IF(OR(S62="ja",S63="ja"),S81/N35,S74/S77)</f>
        <v>#VALUE!</v>
      </c>
      <c r="T82" s="22" t="s">
        <v>19</v>
      </c>
    </row>
    <row r="83" spans="8:33" x14ac:dyDescent="0.25">
      <c r="P83" s="22" t="s">
        <v>144</v>
      </c>
      <c r="S83" s="87" t="str">
        <f>IF(ISERROR(IF(F55="-",S88,"")),"",IF(F55="-",S82+(F4-S74)/S86,""))</f>
        <v/>
      </c>
      <c r="T83" s="22" t="s">
        <v>19</v>
      </c>
    </row>
    <row r="84" spans="8:33" ht="18" x14ac:dyDescent="0.35">
      <c r="H84" s="24">
        <f>Berechnungstool!H21</f>
        <v>0</v>
      </c>
      <c r="P84" s="64" t="s">
        <v>113</v>
      </c>
      <c r="R84" s="27" t="s">
        <v>244</v>
      </c>
      <c r="S84" s="84">
        <f>IF(T84=2,Berechnungstool!D28,1)</f>
        <v>1</v>
      </c>
      <c r="T84" s="22">
        <v>1</v>
      </c>
    </row>
    <row r="85" spans="8:33" ht="18" x14ac:dyDescent="0.35">
      <c r="P85" s="22" t="s">
        <v>112</v>
      </c>
      <c r="R85" s="27" t="s">
        <v>245</v>
      </c>
      <c r="S85" s="85" t="str">
        <f>IF(AND(F55="-",Berechnungstool!H34&lt;&gt;""),F4,"")</f>
        <v/>
      </c>
      <c r="T85" s="22" t="s">
        <v>19</v>
      </c>
    </row>
    <row r="86" spans="8:33" ht="18" x14ac:dyDescent="0.35">
      <c r="P86" s="22" t="s">
        <v>114</v>
      </c>
      <c r="R86" s="27" t="s">
        <v>246</v>
      </c>
      <c r="S86" s="84">
        <f>Tabelle1!I18</f>
        <v>0.93</v>
      </c>
    </row>
    <row r="87" spans="8:33" x14ac:dyDescent="0.25">
      <c r="R87" s="25"/>
    </row>
    <row r="88" spans="8:33" ht="20.25" x14ac:dyDescent="0.35">
      <c r="P88" s="22" t="s">
        <v>115</v>
      </c>
      <c r="R88" s="73" t="s">
        <v>234</v>
      </c>
      <c r="S88" s="95" t="e">
        <f>IF(((AD81*(1-S72)*S85/S86+S82*AD81-S81*AE81)/S85)&lt;=0,0,(AD81*(1-S72)*S85/S86+S82*AD81-S81*AE81)/S85)</f>
        <v>#VALUE!</v>
      </c>
      <c r="U88" s="22" t="s">
        <v>247</v>
      </c>
    </row>
    <row r="89" spans="8:33" x14ac:dyDescent="0.25">
      <c r="Q89" s="25"/>
    </row>
  </sheetData>
  <mergeCells count="17">
    <mergeCell ref="AJ41:AM41"/>
    <mergeCell ref="AB66:AB68"/>
    <mergeCell ref="AC66:AE66"/>
    <mergeCell ref="AC67:AE67"/>
    <mergeCell ref="AI35:AK35"/>
    <mergeCell ref="AI46:AI48"/>
    <mergeCell ref="AH43:AH49"/>
    <mergeCell ref="AI43:AI45"/>
    <mergeCell ref="AJ43:AM43"/>
    <mergeCell ref="AJ44:AM44"/>
    <mergeCell ref="AJ42:AM42"/>
    <mergeCell ref="AJ49:AM49"/>
    <mergeCell ref="AJ46:AM46"/>
    <mergeCell ref="AJ47:AM47"/>
    <mergeCell ref="AJ48:AM48"/>
    <mergeCell ref="AJ45:AM45"/>
    <mergeCell ref="AH41:AI41"/>
  </mergeCells>
  <dataValidations disablePrompts="1" count="4">
    <dataValidation type="list" allowBlank="1" showInputMessage="1" showErrorMessage="1" sqref="F17">
      <formula1>Lala</formula1>
    </dataValidation>
    <dataValidation type="list" allowBlank="1" showInputMessage="1" showErrorMessage="1" sqref="H12">
      <formula1>Gebäudeart</formula1>
    </dataValidation>
    <dataValidation type="list" allowBlank="1" showInputMessage="1" showErrorMessage="1" sqref="H16">
      <formula1>WG_Spitzenlastwärmeerzeuger</formula1>
    </dataValidation>
    <dataValidation type="list" allowBlank="1" showInputMessage="1" showErrorMessage="1" sqref="K12">
      <formula1>Wärmeerzeugungsanlage</formula1>
    </dataValidation>
  </dataValidations>
  <pageMargins left="0.7" right="0.7" top="0.78740157499999996" bottom="0.78740157499999996" header="0.3" footer="0.3"/>
  <pageSetup paperSize="9" scale="1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P56"/>
  <sheetViews>
    <sheetView topLeftCell="A22" zoomScale="80" zoomScaleNormal="80" workbookViewId="0">
      <selection activeCell="E56" sqref="E56"/>
    </sheetView>
  </sheetViews>
  <sheetFormatPr baseColWidth="10" defaultRowHeight="15" x14ac:dyDescent="0.25"/>
  <cols>
    <col min="1" max="1" width="22.5" customWidth="1"/>
  </cols>
  <sheetData>
    <row r="1" spans="1:16" x14ac:dyDescent="0.25">
      <c r="A1" s="250" t="s">
        <v>318</v>
      </c>
      <c r="B1" s="240"/>
      <c r="C1" s="240"/>
      <c r="D1" s="240"/>
      <c r="E1" s="240"/>
      <c r="F1" s="240"/>
      <c r="G1" s="240"/>
      <c r="H1" s="240"/>
    </row>
    <row r="2" spans="1:16" ht="18" x14ac:dyDescent="0.35">
      <c r="A2" s="240" t="s">
        <v>317</v>
      </c>
      <c r="B2" s="240"/>
      <c r="C2" s="240"/>
      <c r="D2" s="240" t="s">
        <v>422</v>
      </c>
      <c r="E2" s="251">
        <f>Berechnungstool!D33</f>
        <v>0</v>
      </c>
      <c r="F2" s="240" t="s">
        <v>22</v>
      </c>
      <c r="G2" s="240"/>
      <c r="H2" s="240"/>
      <c r="L2" s="117" t="s">
        <v>315</v>
      </c>
      <c r="M2" s="117"/>
      <c r="N2" s="117" t="s">
        <v>314</v>
      </c>
      <c r="O2" s="116" t="e">
        <f>(E36*3)/(2.4+(E37)^(1/4))</f>
        <v>#VALUE!</v>
      </c>
      <c r="P2" s="115"/>
    </row>
    <row r="3" spans="1:16" ht="18" x14ac:dyDescent="0.35">
      <c r="A3" s="240" t="s">
        <v>313</v>
      </c>
      <c r="B3" s="240"/>
      <c r="C3" s="240"/>
      <c r="D3" s="240" t="s">
        <v>423</v>
      </c>
      <c r="E3" s="252">
        <f>Berechnungstool!D34</f>
        <v>0</v>
      </c>
      <c r="F3" s="240"/>
      <c r="G3" s="240"/>
      <c r="H3" s="240"/>
      <c r="L3" s="117" t="s">
        <v>311</v>
      </c>
      <c r="M3" s="117"/>
      <c r="N3" s="117" t="s">
        <v>310</v>
      </c>
      <c r="O3" s="116" t="e">
        <f>O2*E35/1000</f>
        <v>#VALUE!</v>
      </c>
      <c r="P3" s="115"/>
    </row>
    <row r="4" spans="1:16" ht="18" x14ac:dyDescent="0.35">
      <c r="A4" s="240" t="s">
        <v>309</v>
      </c>
      <c r="B4" s="240"/>
      <c r="C4" s="240"/>
      <c r="D4" s="240" t="s">
        <v>424</v>
      </c>
      <c r="E4" s="252">
        <f>Berechnungstool!D35</f>
        <v>0</v>
      </c>
      <c r="F4" s="240"/>
      <c r="G4" s="240"/>
      <c r="H4" s="240"/>
    </row>
    <row r="5" spans="1:16" ht="18" x14ac:dyDescent="0.35">
      <c r="A5" s="240" t="s">
        <v>265</v>
      </c>
      <c r="B5" s="240"/>
      <c r="C5" s="240"/>
      <c r="D5" s="240" t="s">
        <v>425</v>
      </c>
      <c r="E5" s="252">
        <f>Berechnungstool!D36</f>
        <v>0</v>
      </c>
      <c r="F5" s="240"/>
      <c r="G5" s="240"/>
      <c r="H5" s="240"/>
      <c r="L5" t="s">
        <v>307</v>
      </c>
      <c r="O5" s="114"/>
      <c r="P5" s="114"/>
    </row>
    <row r="6" spans="1:16" x14ac:dyDescent="0.25">
      <c r="A6" s="240"/>
      <c r="B6" s="240"/>
      <c r="C6" s="240"/>
      <c r="D6" s="240"/>
      <c r="E6" s="244"/>
      <c r="F6" s="240"/>
      <c r="G6" s="240"/>
      <c r="H6" s="240"/>
    </row>
    <row r="7" spans="1:16" x14ac:dyDescent="0.25">
      <c r="A7" s="250" t="s">
        <v>306</v>
      </c>
      <c r="B7" s="240"/>
      <c r="C7" s="240"/>
      <c r="D7" s="240"/>
      <c r="E7" s="253"/>
      <c r="F7" s="240"/>
      <c r="G7" s="240"/>
      <c r="H7" s="240"/>
    </row>
    <row r="8" spans="1:16" x14ac:dyDescent="0.25">
      <c r="A8" s="240" t="s">
        <v>305</v>
      </c>
      <c r="B8" s="240"/>
      <c r="C8" s="240"/>
      <c r="D8" s="240"/>
      <c r="E8" s="240"/>
      <c r="F8" s="240"/>
      <c r="G8" s="240"/>
      <c r="H8" s="240"/>
    </row>
    <row r="9" spans="1:16" x14ac:dyDescent="0.25">
      <c r="A9" s="240"/>
      <c r="B9" s="240"/>
      <c r="C9" s="240"/>
      <c r="D9" s="240"/>
      <c r="E9" s="240"/>
      <c r="F9" s="240"/>
      <c r="G9" s="240"/>
      <c r="H9" s="240"/>
    </row>
    <row r="10" spans="1:16" x14ac:dyDescent="0.25">
      <c r="A10" s="240" t="s">
        <v>304</v>
      </c>
      <c r="B10" s="240"/>
      <c r="C10" s="240"/>
      <c r="D10" s="240"/>
      <c r="E10" s="240" t="s">
        <v>303</v>
      </c>
      <c r="F10" s="240"/>
      <c r="G10" s="240"/>
      <c r="H10" s="240"/>
    </row>
    <row r="11" spans="1:16" ht="18" x14ac:dyDescent="0.35">
      <c r="A11" s="240" t="s">
        <v>426</v>
      </c>
      <c r="B11" s="240">
        <v>2900</v>
      </c>
      <c r="C11" s="240" t="s">
        <v>302</v>
      </c>
      <c r="D11" s="240"/>
      <c r="E11" s="240"/>
      <c r="F11" s="240" t="s">
        <v>427</v>
      </c>
      <c r="G11" s="240" t="s">
        <v>428</v>
      </c>
      <c r="H11" s="240"/>
    </row>
    <row r="12" spans="1:16" ht="18" x14ac:dyDescent="0.35">
      <c r="A12" s="240" t="s">
        <v>429</v>
      </c>
      <c r="B12" s="240">
        <v>185</v>
      </c>
      <c r="C12" s="240" t="s">
        <v>23</v>
      </c>
      <c r="D12" s="240"/>
      <c r="E12" s="240" t="s">
        <v>301</v>
      </c>
      <c r="F12" s="240">
        <v>70</v>
      </c>
      <c r="G12" s="240">
        <v>55</v>
      </c>
      <c r="H12" s="240">
        <f t="shared" ref="H12:H17" si="0">F12-G12</f>
        <v>15</v>
      </c>
    </row>
    <row r="13" spans="1:16" ht="18" x14ac:dyDescent="0.35">
      <c r="A13" s="240" t="s">
        <v>430</v>
      </c>
      <c r="B13" s="240">
        <v>-12</v>
      </c>
      <c r="C13" s="240" t="s">
        <v>25</v>
      </c>
      <c r="D13" s="240"/>
      <c r="E13" s="240" t="s">
        <v>300</v>
      </c>
      <c r="F13" s="240">
        <v>55</v>
      </c>
      <c r="G13" s="240">
        <v>45</v>
      </c>
      <c r="H13" s="240">
        <f t="shared" si="0"/>
        <v>10</v>
      </c>
    </row>
    <row r="14" spans="1:16" ht="18" x14ac:dyDescent="0.35">
      <c r="A14" s="240" t="s">
        <v>431</v>
      </c>
      <c r="B14" s="240">
        <v>10</v>
      </c>
      <c r="C14" s="240" t="s">
        <v>25</v>
      </c>
      <c r="D14" s="240"/>
      <c r="E14" s="240" t="s">
        <v>299</v>
      </c>
      <c r="F14" s="240">
        <v>50</v>
      </c>
      <c r="G14" s="240">
        <v>40</v>
      </c>
      <c r="H14" s="240">
        <f t="shared" si="0"/>
        <v>10</v>
      </c>
    </row>
    <row r="15" spans="1:16" ht="18" x14ac:dyDescent="0.35">
      <c r="A15" s="240" t="s">
        <v>432</v>
      </c>
      <c r="B15" s="240">
        <v>19</v>
      </c>
      <c r="C15" s="240" t="s">
        <v>25</v>
      </c>
      <c r="D15" s="240"/>
      <c r="E15" s="240" t="s">
        <v>298</v>
      </c>
      <c r="F15" s="240">
        <v>45</v>
      </c>
      <c r="G15" s="240">
        <v>35</v>
      </c>
      <c r="H15" s="240">
        <f t="shared" si="0"/>
        <v>10</v>
      </c>
    </row>
    <row r="16" spans="1:16" ht="18" x14ac:dyDescent="0.35">
      <c r="A16" s="240" t="s">
        <v>433</v>
      </c>
      <c r="B16" s="240">
        <v>20</v>
      </c>
      <c r="C16" s="240" t="s">
        <v>25</v>
      </c>
      <c r="D16" s="240"/>
      <c r="E16" s="240" t="s">
        <v>297</v>
      </c>
      <c r="F16" s="240">
        <v>40</v>
      </c>
      <c r="G16" s="240">
        <v>30</v>
      </c>
      <c r="H16" s="240">
        <f t="shared" si="0"/>
        <v>10</v>
      </c>
    </row>
    <row r="17" spans="1:8" ht="18" x14ac:dyDescent="0.35">
      <c r="A17" s="240" t="s">
        <v>434</v>
      </c>
      <c r="B17" s="240">
        <v>20</v>
      </c>
      <c r="C17" s="240" t="s">
        <v>25</v>
      </c>
      <c r="D17" s="240"/>
      <c r="E17" s="240" t="s">
        <v>296</v>
      </c>
      <c r="F17" s="240">
        <v>35</v>
      </c>
      <c r="G17" s="240">
        <v>28</v>
      </c>
      <c r="H17" s="240">
        <f t="shared" si="0"/>
        <v>7</v>
      </c>
    </row>
    <row r="18" spans="1:8" ht="18" x14ac:dyDescent="0.35">
      <c r="A18" s="240" t="s">
        <v>435</v>
      </c>
      <c r="B18" s="240">
        <v>20</v>
      </c>
      <c r="C18" s="240" t="s">
        <v>25</v>
      </c>
      <c r="D18" s="240"/>
      <c r="E18" s="240"/>
      <c r="F18" s="240"/>
      <c r="G18" s="240"/>
      <c r="H18" s="240"/>
    </row>
    <row r="19" spans="1:8" ht="18" x14ac:dyDescent="0.35">
      <c r="A19" s="240" t="s">
        <v>436</v>
      </c>
      <c r="B19" s="240">
        <v>20</v>
      </c>
      <c r="C19" s="240" t="s">
        <v>25</v>
      </c>
      <c r="D19" s="240"/>
      <c r="E19" s="240"/>
      <c r="F19" s="240"/>
      <c r="G19" s="240"/>
      <c r="H19" s="240"/>
    </row>
    <row r="20" spans="1:8" x14ac:dyDescent="0.25">
      <c r="A20" s="240" t="s">
        <v>102</v>
      </c>
      <c r="B20" s="240">
        <v>1.3</v>
      </c>
      <c r="C20" s="240" t="s">
        <v>295</v>
      </c>
      <c r="D20" s="240"/>
      <c r="E20" s="240" t="s">
        <v>294</v>
      </c>
      <c r="F20" s="240"/>
      <c r="G20" s="240"/>
      <c r="H20" s="254" t="e">
        <f>IF('Nutzungsgrad BW'!E29&gt;30,E25^(1/$B$20)*('Nutzungsgrad BW'!E29-$B$18)+$B$18,E25^(1/$B$21)*('Nutzungsgrad BW'!E29-$B$18)+$B$18)</f>
        <v>#VALUE!</v>
      </c>
    </row>
    <row r="21" spans="1:8" x14ac:dyDescent="0.25">
      <c r="A21" s="240" t="s">
        <v>102</v>
      </c>
      <c r="B21" s="240">
        <v>1.1000000000000001</v>
      </c>
      <c r="C21" s="240" t="s">
        <v>293</v>
      </c>
      <c r="D21" s="240"/>
      <c r="E21" s="240"/>
      <c r="F21" s="240"/>
      <c r="G21" s="240"/>
      <c r="H21" s="240"/>
    </row>
    <row r="23" spans="1:8" x14ac:dyDescent="0.25">
      <c r="G23" s="105"/>
      <c r="H23" s="105"/>
    </row>
    <row r="24" spans="1:8" ht="18" x14ac:dyDescent="0.35">
      <c r="A24" s="113" t="s">
        <v>292</v>
      </c>
      <c r="B24" s="113"/>
      <c r="C24" s="113"/>
      <c r="D24" s="112" t="s">
        <v>291</v>
      </c>
      <c r="E24" s="239">
        <f>$B$15-($B$11/$B$12)</f>
        <v>3.3243243243243246</v>
      </c>
      <c r="G24" s="105"/>
      <c r="H24" s="105"/>
    </row>
    <row r="25" spans="1:8" ht="18" x14ac:dyDescent="0.35">
      <c r="A25" s="113" t="s">
        <v>290</v>
      </c>
      <c r="B25" s="113"/>
      <c r="C25" s="113"/>
      <c r="D25" s="112" t="s">
        <v>289</v>
      </c>
      <c r="E25" s="239">
        <f>($B$17-E24)/($B$17-$B$13)</f>
        <v>0.52111486486486491</v>
      </c>
      <c r="G25" s="105"/>
      <c r="H25" s="105"/>
    </row>
    <row r="26" spans="1:8" x14ac:dyDescent="0.25">
      <c r="E26" s="240"/>
    </row>
    <row r="27" spans="1:8" ht="18" x14ac:dyDescent="0.35">
      <c r="A27" t="s">
        <v>288</v>
      </c>
      <c r="D27" s="106" t="s">
        <v>287</v>
      </c>
      <c r="E27" s="240">
        <v>30</v>
      </c>
      <c r="F27" t="s">
        <v>25</v>
      </c>
      <c r="G27" t="s">
        <v>286</v>
      </c>
    </row>
    <row r="28" spans="1:8" x14ac:dyDescent="0.25">
      <c r="D28" s="106"/>
      <c r="E28" s="240"/>
    </row>
    <row r="29" spans="1:8" ht="18" x14ac:dyDescent="0.35">
      <c r="A29" t="s">
        <v>285</v>
      </c>
      <c r="D29" s="106" t="s">
        <v>284</v>
      </c>
      <c r="E29" s="241" t="str">
        <f>IF(Berechnungstool!D25="","-",Berechnungstool!D25)</f>
        <v>-</v>
      </c>
      <c r="G29" t="s">
        <v>273</v>
      </c>
    </row>
    <row r="30" spans="1:8" x14ac:dyDescent="0.25">
      <c r="E30" s="242"/>
    </row>
    <row r="31" spans="1:8" x14ac:dyDescent="0.25">
      <c r="E31" s="242"/>
    </row>
    <row r="32" spans="1:8" x14ac:dyDescent="0.25">
      <c r="A32" t="s">
        <v>283</v>
      </c>
      <c r="D32" s="106" t="s">
        <v>282</v>
      </c>
      <c r="E32" s="243" t="str">
        <f>IF(Berechnungstool!B39="",Tabelle1!S72,"")</f>
        <v/>
      </c>
      <c r="G32" t="s">
        <v>273</v>
      </c>
    </row>
    <row r="33" spans="1:14" x14ac:dyDescent="0.25">
      <c r="E33" s="240"/>
    </row>
    <row r="34" spans="1:14" x14ac:dyDescent="0.25">
      <c r="A34" s="105"/>
      <c r="B34" s="105"/>
      <c r="C34" s="105"/>
      <c r="D34" s="105"/>
      <c r="E34" s="244"/>
      <c r="F34" s="105"/>
      <c r="G34" s="105"/>
      <c r="H34" s="105"/>
      <c r="I34" s="105"/>
      <c r="J34" s="105"/>
      <c r="K34" s="105"/>
      <c r="L34" s="105"/>
      <c r="M34" s="105"/>
      <c r="N34" s="105"/>
    </row>
    <row r="35" spans="1:14" x14ac:dyDescent="0.25">
      <c r="A35" s="105" t="s">
        <v>8</v>
      </c>
      <c r="B35" s="105"/>
      <c r="C35" s="105"/>
      <c r="D35" s="105" t="s">
        <v>120</v>
      </c>
      <c r="E35" s="241" t="str">
        <f>IF(Berechnungstool!D24="","-",Berechnungstool!D24)</f>
        <v>-</v>
      </c>
      <c r="F35" s="105" t="s">
        <v>20</v>
      </c>
      <c r="G35" t="s">
        <v>273</v>
      </c>
      <c r="H35" s="105"/>
      <c r="I35" s="105"/>
      <c r="J35" s="105"/>
      <c r="K35" s="105"/>
      <c r="L35" s="105"/>
      <c r="M35" s="105"/>
      <c r="N35" s="105"/>
    </row>
    <row r="36" spans="1:14" x14ac:dyDescent="0.25">
      <c r="A36" s="105" t="s">
        <v>281</v>
      </c>
      <c r="B36" s="105"/>
      <c r="C36" s="105"/>
      <c r="D36" s="105"/>
      <c r="E36" s="244" t="e">
        <f>(E40-E41)/E35</f>
        <v>#VALUE!</v>
      </c>
      <c r="F36" s="105" t="s">
        <v>21</v>
      </c>
      <c r="G36" s="105" t="s">
        <v>280</v>
      </c>
      <c r="H36" s="105"/>
      <c r="I36" s="105"/>
      <c r="J36" s="105"/>
      <c r="K36" s="105"/>
      <c r="L36" s="105"/>
      <c r="M36" s="105"/>
      <c r="N36" s="105"/>
    </row>
    <row r="37" spans="1:14" x14ac:dyDescent="0.25">
      <c r="A37" s="105" t="s">
        <v>279</v>
      </c>
      <c r="B37" s="105"/>
      <c r="C37" s="105"/>
      <c r="D37" s="105"/>
      <c r="E37" s="244" t="e">
        <f>(E40-E41)/E35</f>
        <v>#VALUE!</v>
      </c>
      <c r="F37" s="105" t="s">
        <v>21</v>
      </c>
      <c r="G37" s="105"/>
      <c r="H37" s="105"/>
      <c r="I37" s="105"/>
      <c r="J37" s="105"/>
      <c r="K37" s="105"/>
      <c r="L37" s="105"/>
      <c r="M37" s="105"/>
      <c r="N37" s="105"/>
    </row>
    <row r="38" spans="1:14" x14ac:dyDescent="0.25">
      <c r="A38" s="105" t="s">
        <v>278</v>
      </c>
      <c r="B38" s="105"/>
      <c r="C38" s="105"/>
      <c r="D38" s="105"/>
      <c r="E38" s="244" t="e">
        <f>E41/E35</f>
        <v>#VALUE!</v>
      </c>
      <c r="F38" s="105" t="s">
        <v>21</v>
      </c>
      <c r="G38" s="105"/>
      <c r="H38" s="105"/>
      <c r="I38" s="105"/>
      <c r="J38" s="105"/>
      <c r="K38" s="105"/>
      <c r="L38" s="105"/>
      <c r="M38" s="105"/>
      <c r="N38" s="105"/>
    </row>
    <row r="39" spans="1:14" x14ac:dyDescent="0.25">
      <c r="A39" s="105"/>
      <c r="B39" s="105"/>
      <c r="C39" s="105"/>
      <c r="D39" s="105"/>
      <c r="E39" s="244"/>
      <c r="F39" s="105"/>
      <c r="G39" s="105"/>
      <c r="H39" s="105"/>
      <c r="I39" s="105"/>
      <c r="J39" s="105"/>
      <c r="K39" s="105"/>
      <c r="L39" s="105"/>
      <c r="M39" s="105"/>
      <c r="N39" s="105"/>
    </row>
    <row r="40" spans="1:14" x14ac:dyDescent="0.25">
      <c r="A40" s="105" t="s">
        <v>277</v>
      </c>
      <c r="B40" s="105"/>
      <c r="C40" s="105"/>
      <c r="D40" s="105" t="s">
        <v>276</v>
      </c>
      <c r="E40" s="241" t="str">
        <f>Berechnungstool!D22</f>
        <v/>
      </c>
      <c r="F40" s="105" t="s">
        <v>19</v>
      </c>
      <c r="G40" t="s">
        <v>273</v>
      </c>
      <c r="H40" s="105"/>
      <c r="I40" s="105"/>
      <c r="J40" s="105"/>
      <c r="K40" s="105"/>
      <c r="L40" s="105"/>
      <c r="M40" s="105"/>
      <c r="N40" s="105"/>
    </row>
    <row r="41" spans="1:14" x14ac:dyDescent="0.25">
      <c r="A41" s="105" t="s">
        <v>275</v>
      </c>
      <c r="B41" s="105"/>
      <c r="C41" s="105"/>
      <c r="D41" s="105" t="s">
        <v>274</v>
      </c>
      <c r="E41" s="241">
        <f>Berechnungstool!D20</f>
        <v>0</v>
      </c>
      <c r="F41" s="105" t="s">
        <v>19</v>
      </c>
      <c r="G41" t="s">
        <v>273</v>
      </c>
      <c r="H41" s="105"/>
      <c r="I41" s="105"/>
      <c r="J41" s="105"/>
      <c r="K41" s="105"/>
      <c r="L41" s="105"/>
      <c r="M41" s="105"/>
      <c r="N41" s="105"/>
    </row>
    <row r="42" spans="1:14" x14ac:dyDescent="0.25">
      <c r="A42" s="105" t="s">
        <v>272</v>
      </c>
      <c r="B42" s="105"/>
      <c r="C42" s="105"/>
      <c r="D42" s="105"/>
      <c r="E42" s="245" t="e">
        <f>E41/E40</f>
        <v>#VALUE!</v>
      </c>
      <c r="F42" s="255" t="e">
        <f>E42</f>
        <v>#VALUE!</v>
      </c>
      <c r="G42" s="105"/>
      <c r="H42" s="105"/>
      <c r="I42" s="105"/>
      <c r="J42" s="105"/>
      <c r="K42" s="105"/>
      <c r="L42" s="105"/>
      <c r="M42" s="105"/>
      <c r="N42" s="105"/>
    </row>
    <row r="43" spans="1:14" x14ac:dyDescent="0.25">
      <c r="A43" s="105"/>
      <c r="B43" s="105"/>
      <c r="C43" s="105"/>
      <c r="D43" s="105"/>
      <c r="E43" s="245"/>
      <c r="F43" s="105"/>
      <c r="G43" s="105"/>
      <c r="H43" s="105"/>
      <c r="I43" s="105"/>
      <c r="J43" s="105"/>
      <c r="K43" s="105"/>
      <c r="L43" s="105"/>
      <c r="M43" s="105"/>
      <c r="N43" s="105"/>
    </row>
    <row r="44" spans="1:14" ht="18" x14ac:dyDescent="0.35">
      <c r="A44" t="s">
        <v>267</v>
      </c>
      <c r="C44" s="111"/>
      <c r="D44" s="106" t="s">
        <v>271</v>
      </c>
      <c r="E44" s="246" t="e">
        <f>(E35*E38*(1-E32))/('Nutzungsgrad BW'!$E2*350*24)</f>
        <v>#VALUE!</v>
      </c>
      <c r="F44" s="105"/>
      <c r="G44" s="105"/>
      <c r="H44" s="105"/>
      <c r="I44" s="105"/>
      <c r="J44" s="105"/>
      <c r="K44" s="105"/>
      <c r="L44" s="105"/>
      <c r="M44" s="105"/>
      <c r="N44" s="105"/>
    </row>
    <row r="45" spans="1:14" ht="18" x14ac:dyDescent="0.35">
      <c r="A45" t="s">
        <v>265</v>
      </c>
      <c r="C45" s="110"/>
      <c r="D45" s="106" t="s">
        <v>264</v>
      </c>
      <c r="E45" s="247">
        <f>IF(E5="",0.06*($E2/0.42)^(-0.4),E5)</f>
        <v>0</v>
      </c>
      <c r="F45" s="105"/>
      <c r="G45" s="105"/>
      <c r="H45" s="105"/>
      <c r="I45" s="105"/>
      <c r="J45" s="105"/>
      <c r="K45" s="105"/>
      <c r="L45" s="105"/>
      <c r="M45" s="105"/>
      <c r="N45" s="105"/>
    </row>
    <row r="46" spans="1:14" ht="18" x14ac:dyDescent="0.35">
      <c r="A46" t="s">
        <v>270</v>
      </c>
      <c r="D46" s="109" t="s">
        <v>269</v>
      </c>
      <c r="E46" s="240" t="e">
        <f>35+0.002*E35</f>
        <v>#VALUE!</v>
      </c>
      <c r="F46" s="105"/>
      <c r="G46" s="105"/>
      <c r="H46" s="105"/>
      <c r="I46" s="105"/>
      <c r="J46" s="105"/>
      <c r="K46" s="105"/>
      <c r="L46" s="105"/>
      <c r="M46" s="105"/>
      <c r="N46" s="105"/>
    </row>
    <row r="47" spans="1:14" ht="18" x14ac:dyDescent="0.35">
      <c r="A47" t="s">
        <v>263</v>
      </c>
      <c r="D47" s="106" t="s">
        <v>262</v>
      </c>
      <c r="E47" s="240" t="e">
        <f>E45*(E46-20)/(70-20)</f>
        <v>#VALUE!</v>
      </c>
      <c r="F47" s="105"/>
      <c r="G47" s="105"/>
      <c r="H47" s="105"/>
      <c r="I47" s="105"/>
      <c r="J47" s="105"/>
      <c r="K47" s="105"/>
      <c r="L47" s="105"/>
      <c r="M47" s="105"/>
      <c r="N47" s="105"/>
    </row>
    <row r="48" spans="1:14" ht="18" x14ac:dyDescent="0.35">
      <c r="A48" s="108" t="s">
        <v>255</v>
      </c>
      <c r="C48" s="108"/>
      <c r="D48" s="108" t="s">
        <v>268</v>
      </c>
      <c r="E48" s="248" t="e">
        <f>(1+(1/E44-1)*(1-185/350)*E47)/$E3</f>
        <v>#VALUE!</v>
      </c>
      <c r="F48" s="105"/>
      <c r="G48" s="105"/>
      <c r="H48" s="105"/>
      <c r="I48" s="105"/>
      <c r="J48" s="105"/>
      <c r="K48" s="105"/>
      <c r="L48" s="105"/>
      <c r="M48" s="105"/>
      <c r="N48" s="105"/>
    </row>
    <row r="49" spans="1:14" ht="18" x14ac:dyDescent="0.35">
      <c r="A49" t="s">
        <v>267</v>
      </c>
      <c r="C49" s="107"/>
      <c r="D49" s="106" t="s">
        <v>266</v>
      </c>
      <c r="E49" s="249" t="e">
        <f>(E37*E35*(1-E32))/('Nutzungsgrad BW'!$E2*B12*24)</f>
        <v>#VALUE!</v>
      </c>
      <c r="F49" s="105"/>
      <c r="G49" s="105"/>
      <c r="H49" s="105"/>
      <c r="I49" s="105"/>
      <c r="J49" s="105"/>
      <c r="K49" s="105"/>
      <c r="L49" s="105"/>
      <c r="M49" s="105"/>
      <c r="N49" s="105"/>
    </row>
    <row r="50" spans="1:14" ht="18" x14ac:dyDescent="0.35">
      <c r="A50" t="s">
        <v>265</v>
      </c>
      <c r="D50" s="106" t="s">
        <v>264</v>
      </c>
      <c r="E50" s="240">
        <f>IF(E5="",0.06*($E2/0.42)^(-0.4),E5)</f>
        <v>0</v>
      </c>
      <c r="F50" s="105"/>
      <c r="G50" s="105"/>
      <c r="H50" s="105"/>
      <c r="I50" s="105"/>
      <c r="J50" s="105"/>
      <c r="K50" s="105"/>
      <c r="L50" s="105"/>
      <c r="M50" s="105"/>
      <c r="N50" s="105"/>
    </row>
    <row r="51" spans="1:14" ht="18" x14ac:dyDescent="0.35">
      <c r="A51" t="s">
        <v>263</v>
      </c>
      <c r="D51" s="106" t="s">
        <v>262</v>
      </c>
      <c r="E51" s="240" t="e">
        <f>E50*($H20-20)/(70-20)</f>
        <v>#VALUE!</v>
      </c>
      <c r="F51" s="105"/>
      <c r="G51" s="105"/>
      <c r="H51" s="105"/>
      <c r="I51" s="105"/>
      <c r="J51" s="105"/>
      <c r="K51" s="105"/>
      <c r="L51" s="105"/>
      <c r="M51" s="105"/>
      <c r="N51" s="105"/>
    </row>
    <row r="52" spans="1:14" ht="18" x14ac:dyDescent="0.35">
      <c r="A52" t="s">
        <v>261</v>
      </c>
      <c r="D52" t="s">
        <v>260</v>
      </c>
      <c r="E52" s="240" t="e">
        <f>25*E51</f>
        <v>#VALUE!</v>
      </c>
      <c r="F52" s="105"/>
      <c r="G52" s="105"/>
      <c r="H52" s="105"/>
      <c r="I52" s="105"/>
      <c r="J52" s="105"/>
      <c r="K52" s="105"/>
      <c r="L52" s="105"/>
      <c r="M52" s="105"/>
      <c r="N52" s="105"/>
    </row>
    <row r="53" spans="1:14" ht="18" x14ac:dyDescent="0.35">
      <c r="A53" t="s">
        <v>259</v>
      </c>
      <c r="D53" s="106" t="s">
        <v>258</v>
      </c>
      <c r="E53" s="240" t="e">
        <f>1*$E4+E51*(1-E52)/E49</f>
        <v>#VALUE!</v>
      </c>
      <c r="F53" s="105"/>
      <c r="G53" s="105"/>
      <c r="H53" s="105"/>
      <c r="I53" s="105"/>
      <c r="J53" s="105"/>
      <c r="K53" s="105"/>
      <c r="L53" s="105"/>
      <c r="M53" s="105"/>
      <c r="N53" s="105"/>
    </row>
    <row r="54" spans="1:14" ht="18" x14ac:dyDescent="0.35">
      <c r="A54" t="s">
        <v>257</v>
      </c>
      <c r="D54" t="s">
        <v>256</v>
      </c>
      <c r="E54" s="240" t="e">
        <f>(1+(1/0.3-1)*E51)/(1+(1/E49-1)*E51)</f>
        <v>#VALUE!</v>
      </c>
      <c r="F54" s="105"/>
      <c r="G54" s="105"/>
      <c r="H54" s="105"/>
      <c r="I54" s="105"/>
      <c r="J54" s="105"/>
      <c r="K54" s="105"/>
      <c r="L54" s="105"/>
      <c r="M54" s="105"/>
      <c r="N54" s="105"/>
    </row>
    <row r="55" spans="1:14" ht="18" x14ac:dyDescent="0.35">
      <c r="A55" t="s">
        <v>255</v>
      </c>
      <c r="D55" t="s">
        <v>254</v>
      </c>
      <c r="E55" s="240" t="e">
        <f>1/(E54*(E53+0.003*($E27-$H20)))</f>
        <v>#VALUE!</v>
      </c>
      <c r="F55" s="105"/>
      <c r="G55" s="105"/>
      <c r="H55" s="105"/>
      <c r="I55" s="105"/>
      <c r="J55" s="105"/>
      <c r="K55" s="105"/>
      <c r="L55" s="105"/>
      <c r="M55" s="105"/>
      <c r="N55" s="105"/>
    </row>
    <row r="56" spans="1:14" ht="18" x14ac:dyDescent="0.35">
      <c r="A56" t="s">
        <v>253</v>
      </c>
      <c r="D56" s="106" t="s">
        <v>252</v>
      </c>
      <c r="E56" s="256" t="e">
        <f>IF(OR(E32="",Tabelle1!H33="",AND(Tabelle1!F33="Bitte eintragen",Tabelle1!H33&lt;100*Tabelle1!N45)),"",IF((1/E48)*E42+(1-E42)*(1/E55)&lt;0.93,0.93,(1/E48)*E42+(1-E42)*(1/E55)))</f>
        <v>#VALUE!</v>
      </c>
      <c r="F56" s="105"/>
      <c r="G56" s="105"/>
      <c r="H56" s="105"/>
      <c r="I56" s="105"/>
      <c r="J56" s="105"/>
      <c r="K56" s="105"/>
      <c r="L56" s="105"/>
      <c r="M56" s="105"/>
      <c r="N56" s="105"/>
    </row>
  </sheetData>
  <pageMargins left="0.7" right="0.7" top="0.78740157499999996" bottom="0.78740157499999996"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L26"/>
  <sheetViews>
    <sheetView workbookViewId="0">
      <selection activeCell="C7" sqref="C7"/>
    </sheetView>
  </sheetViews>
  <sheetFormatPr baseColWidth="10" defaultColWidth="0" defaultRowHeight="14.25" zeroHeight="1" x14ac:dyDescent="0.2"/>
  <cols>
    <col min="1" max="1" width="11" style="1" customWidth="1"/>
    <col min="2" max="2" width="6.75" style="1" customWidth="1"/>
    <col min="3" max="3" width="12.375" style="1" customWidth="1"/>
    <col min="4" max="6" width="11" style="1" customWidth="1"/>
    <col min="7" max="7" width="14.125" style="1" customWidth="1"/>
    <col min="8" max="8" width="7.75" style="1" customWidth="1"/>
    <col min="9" max="9" width="9" style="1" customWidth="1"/>
    <col min="10" max="10" width="14.375" style="1" customWidth="1"/>
    <col min="11" max="12" width="11" style="1" customWidth="1"/>
    <col min="13" max="16384" width="11" style="1" hidden="1"/>
  </cols>
  <sheetData>
    <row r="1" spans="1:12" s="15" customFormat="1" ht="28.5" customHeight="1" x14ac:dyDescent="0.25">
      <c r="A1" s="176" t="s">
        <v>194</v>
      </c>
      <c r="B1" s="165"/>
      <c r="C1" s="165"/>
      <c r="D1" s="165"/>
      <c r="E1" s="165"/>
      <c r="F1" s="165"/>
      <c r="G1" s="165"/>
      <c r="H1" s="165"/>
      <c r="I1" s="165"/>
      <c r="J1" s="165"/>
      <c r="K1" s="165"/>
      <c r="L1" s="165"/>
    </row>
    <row r="2" spans="1:12" x14ac:dyDescent="0.2">
      <c r="A2" s="2"/>
      <c r="B2" s="2"/>
      <c r="C2" s="2"/>
      <c r="D2" s="2"/>
      <c r="E2" s="2"/>
      <c r="F2" s="2"/>
      <c r="G2" s="2"/>
      <c r="H2" s="2"/>
      <c r="I2" s="2"/>
      <c r="J2" s="2"/>
      <c r="K2" s="2"/>
      <c r="L2" s="2"/>
    </row>
    <row r="3" spans="1:12" ht="15" x14ac:dyDescent="0.25">
      <c r="A3" s="165" t="s">
        <v>442</v>
      </c>
      <c r="B3" s="177"/>
      <c r="C3" s="2"/>
      <c r="D3" s="2"/>
      <c r="E3" s="2"/>
      <c r="F3" s="2"/>
      <c r="G3" s="2"/>
      <c r="H3" s="2"/>
      <c r="I3" s="2"/>
      <c r="J3" s="2"/>
      <c r="K3" s="2"/>
      <c r="L3" s="2"/>
    </row>
    <row r="4" spans="1:12" x14ac:dyDescent="0.2">
      <c r="A4" s="2"/>
      <c r="B4" s="2"/>
      <c r="C4" s="2"/>
      <c r="D4" s="2"/>
      <c r="E4" s="2"/>
      <c r="F4" s="2"/>
      <c r="G4" s="2"/>
      <c r="H4" s="2"/>
      <c r="I4" s="2"/>
      <c r="J4" s="2"/>
      <c r="K4" s="2"/>
      <c r="L4" s="2"/>
    </row>
    <row r="5" spans="1:12" x14ac:dyDescent="0.2">
      <c r="A5" s="2" t="s">
        <v>193</v>
      </c>
      <c r="B5" s="2"/>
      <c r="C5" s="2"/>
      <c r="D5" s="2"/>
      <c r="E5" s="2"/>
      <c r="F5" s="2"/>
      <c r="G5" s="2"/>
      <c r="H5" s="2"/>
      <c r="I5" s="2"/>
      <c r="J5" s="2"/>
      <c r="K5" s="2"/>
      <c r="L5" s="2"/>
    </row>
    <row r="6" spans="1:12" x14ac:dyDescent="0.2">
      <c r="A6" s="2"/>
      <c r="B6" s="2"/>
      <c r="C6" s="2"/>
      <c r="D6" s="2"/>
      <c r="E6" s="2"/>
      <c r="F6" s="2"/>
      <c r="G6" s="2"/>
      <c r="H6" s="2"/>
      <c r="I6" s="2"/>
      <c r="J6" s="2"/>
      <c r="K6" s="2"/>
      <c r="L6" s="2"/>
    </row>
    <row r="7" spans="1:12" x14ac:dyDescent="0.2">
      <c r="A7" s="2" t="s">
        <v>192</v>
      </c>
      <c r="B7" s="2"/>
      <c r="C7" s="17" t="s">
        <v>191</v>
      </c>
      <c r="D7" s="2" t="s">
        <v>190</v>
      </c>
      <c r="E7" s="2"/>
      <c r="F7" s="2"/>
      <c r="G7" s="2"/>
      <c r="H7" s="2"/>
      <c r="I7" s="2"/>
      <c r="J7" s="2"/>
      <c r="K7" s="2"/>
      <c r="L7" s="2"/>
    </row>
    <row r="8" spans="1:12" x14ac:dyDescent="0.2">
      <c r="A8" s="2"/>
      <c r="B8" s="2"/>
      <c r="C8" s="2"/>
      <c r="D8" s="2"/>
      <c r="E8" s="2"/>
      <c r="F8" s="2"/>
      <c r="G8" s="2"/>
      <c r="H8" s="2"/>
      <c r="I8" s="2"/>
      <c r="J8" s="2"/>
      <c r="K8" s="2"/>
      <c r="L8" s="2"/>
    </row>
    <row r="9" spans="1:12" s="14" customFormat="1" ht="43.5" customHeight="1" x14ac:dyDescent="0.2">
      <c r="A9" s="310" t="s">
        <v>189</v>
      </c>
      <c r="B9" s="310"/>
      <c r="C9" s="310"/>
      <c r="D9" s="310"/>
      <c r="E9" s="310"/>
      <c r="F9" s="310"/>
      <c r="G9" s="310"/>
      <c r="H9" s="164"/>
      <c r="I9" s="164"/>
      <c r="J9" s="164"/>
      <c r="K9" s="164"/>
      <c r="L9" s="164"/>
    </row>
    <row r="10" spans="1:12" s="14" customFormat="1" ht="43.5" customHeight="1" x14ac:dyDescent="0.2">
      <c r="A10" s="308" t="s">
        <v>411</v>
      </c>
      <c r="B10" s="309"/>
      <c r="C10" s="309"/>
      <c r="D10" s="309"/>
      <c r="E10" s="309"/>
      <c r="F10" s="309"/>
      <c r="G10" s="309"/>
      <c r="H10" s="164"/>
      <c r="I10" s="164"/>
      <c r="J10" s="164"/>
      <c r="K10" s="164"/>
      <c r="L10" s="164"/>
    </row>
    <row r="11" spans="1:12" s="14" customFormat="1" ht="43.5" customHeight="1" x14ac:dyDescent="0.2">
      <c r="A11" s="311" t="s">
        <v>352</v>
      </c>
      <c r="B11" s="312"/>
      <c r="C11" s="312"/>
      <c r="D11" s="312"/>
      <c r="E11" s="312"/>
      <c r="F11" s="312"/>
      <c r="G11" s="312"/>
      <c r="H11" s="164"/>
      <c r="I11" s="164"/>
      <c r="J11" s="164"/>
      <c r="K11" s="164"/>
      <c r="L11" s="164"/>
    </row>
    <row r="12" spans="1:12" s="14" customFormat="1" ht="43.5" customHeight="1" x14ac:dyDescent="0.2">
      <c r="A12" s="313" t="s">
        <v>356</v>
      </c>
      <c r="B12" s="314"/>
      <c r="C12" s="314"/>
      <c r="D12" s="314"/>
      <c r="E12" s="314"/>
      <c r="F12" s="314"/>
      <c r="G12" s="314"/>
      <c r="H12" s="164"/>
      <c r="I12" s="164"/>
      <c r="J12" s="164"/>
      <c r="K12" s="164"/>
      <c r="L12" s="164"/>
    </row>
    <row r="13" spans="1:12" s="14" customFormat="1" ht="43.5" customHeight="1" x14ac:dyDescent="0.2">
      <c r="A13" s="308" t="s">
        <v>353</v>
      </c>
      <c r="B13" s="309"/>
      <c r="C13" s="309"/>
      <c r="D13" s="309"/>
      <c r="E13" s="309"/>
      <c r="F13" s="309"/>
      <c r="G13" s="309"/>
      <c r="H13" s="164"/>
      <c r="I13" s="164"/>
      <c r="J13" s="164"/>
      <c r="K13" s="164"/>
      <c r="L13" s="164"/>
    </row>
    <row r="14" spans="1:12" s="14" customFormat="1" ht="43.5" customHeight="1" x14ac:dyDescent="0.2">
      <c r="A14" s="308" t="s">
        <v>412</v>
      </c>
      <c r="B14" s="309"/>
      <c r="C14" s="309"/>
      <c r="D14" s="309"/>
      <c r="E14" s="309"/>
      <c r="F14" s="309"/>
      <c r="G14" s="309"/>
      <c r="H14" s="164"/>
      <c r="I14" s="164"/>
      <c r="J14" s="164"/>
      <c r="K14" s="164"/>
      <c r="L14" s="164"/>
    </row>
    <row r="15" spans="1:12" s="14" customFormat="1" ht="43.5" customHeight="1" x14ac:dyDescent="0.2">
      <c r="A15" s="310" t="s">
        <v>188</v>
      </c>
      <c r="B15" s="310"/>
      <c r="C15" s="310"/>
      <c r="D15" s="310"/>
      <c r="E15" s="310"/>
      <c r="F15" s="310"/>
      <c r="G15" s="310"/>
      <c r="H15" s="164"/>
      <c r="I15" s="164"/>
      <c r="J15" s="164"/>
      <c r="K15" s="164"/>
      <c r="L15" s="164"/>
    </row>
    <row r="16" spans="1:12" s="14" customFormat="1" ht="43.5" customHeight="1" x14ac:dyDescent="0.2">
      <c r="A16" s="308" t="s">
        <v>354</v>
      </c>
      <c r="B16" s="309"/>
      <c r="C16" s="309"/>
      <c r="D16" s="309"/>
      <c r="E16" s="309"/>
      <c r="F16" s="309"/>
      <c r="G16" s="309"/>
      <c r="H16" s="164"/>
      <c r="I16" s="164"/>
      <c r="J16" s="164"/>
      <c r="K16" s="164"/>
      <c r="L16" s="164"/>
    </row>
    <row r="17" spans="1:12" s="14" customFormat="1" ht="43.5" customHeight="1" x14ac:dyDescent="0.2">
      <c r="A17" s="308" t="s">
        <v>355</v>
      </c>
      <c r="B17" s="309"/>
      <c r="C17" s="309"/>
      <c r="D17" s="309"/>
      <c r="E17" s="309"/>
      <c r="F17" s="309"/>
      <c r="G17" s="309"/>
      <c r="H17" s="164"/>
      <c r="I17" s="164"/>
      <c r="J17" s="164"/>
      <c r="K17" s="164"/>
      <c r="L17" s="164"/>
    </row>
    <row r="18" spans="1:12" ht="15" x14ac:dyDescent="0.25">
      <c r="A18" s="165" t="s">
        <v>187</v>
      </c>
      <c r="B18" s="2"/>
      <c r="C18" s="2"/>
      <c r="D18" s="2"/>
      <c r="E18" s="2"/>
      <c r="F18" s="2"/>
      <c r="G18" s="2"/>
      <c r="H18" s="2"/>
      <c r="I18" s="2"/>
      <c r="J18" s="2"/>
      <c r="K18" s="2"/>
      <c r="L18" s="2"/>
    </row>
    <row r="19" spans="1:12" x14ac:dyDescent="0.2">
      <c r="A19" s="2"/>
      <c r="B19" s="166"/>
      <c r="C19" s="2"/>
      <c r="D19" s="2"/>
      <c r="E19" s="2"/>
      <c r="F19" s="2"/>
      <c r="G19" s="2"/>
      <c r="H19" s="2"/>
      <c r="I19" s="2"/>
      <c r="J19" s="2"/>
      <c r="K19" s="2"/>
      <c r="L19" s="2"/>
    </row>
    <row r="20" spans="1:12" x14ac:dyDescent="0.2">
      <c r="A20" s="2" t="s">
        <v>186</v>
      </c>
      <c r="B20" s="2"/>
      <c r="C20" s="2"/>
      <c r="D20" s="2"/>
      <c r="E20" s="2"/>
      <c r="F20" s="2"/>
      <c r="G20" s="2"/>
      <c r="H20" s="2"/>
      <c r="I20" s="2"/>
      <c r="J20" s="2"/>
      <c r="K20" s="2"/>
      <c r="L20" s="2"/>
    </row>
    <row r="21" spans="1:12" x14ac:dyDescent="0.2">
      <c r="A21" s="2"/>
      <c r="B21" s="2"/>
      <c r="C21" s="2"/>
      <c r="D21" s="2"/>
      <c r="E21" s="2"/>
      <c r="F21" s="2"/>
      <c r="G21" s="2"/>
      <c r="H21" s="2"/>
      <c r="I21" s="2"/>
      <c r="J21" s="2"/>
      <c r="K21" s="2"/>
      <c r="L21" s="2"/>
    </row>
    <row r="22" spans="1:12" x14ac:dyDescent="0.2">
      <c r="A22" s="2" t="s">
        <v>185</v>
      </c>
      <c r="B22" s="2"/>
      <c r="C22" s="17" t="s">
        <v>184</v>
      </c>
      <c r="D22" s="167"/>
      <c r="E22" s="167"/>
      <c r="F22" s="2" t="s">
        <v>183</v>
      </c>
      <c r="G22" s="2"/>
      <c r="H22" s="2"/>
      <c r="I22" s="2"/>
      <c r="J22" s="2"/>
      <c r="K22" s="2"/>
      <c r="L22" s="2"/>
    </row>
    <row r="23" spans="1:12" x14ac:dyDescent="0.2">
      <c r="A23" s="2"/>
      <c r="B23" s="2"/>
      <c r="C23" s="2"/>
      <c r="D23" s="2"/>
      <c r="E23" s="2"/>
      <c r="F23" s="2"/>
      <c r="G23" s="2"/>
      <c r="H23" s="2"/>
      <c r="I23" s="2"/>
      <c r="J23" s="2"/>
      <c r="K23" s="2"/>
      <c r="L23" s="2"/>
    </row>
    <row r="24" spans="1:12" x14ac:dyDescent="0.2">
      <c r="A24" s="2" t="s">
        <v>182</v>
      </c>
      <c r="B24" s="2"/>
      <c r="C24" s="2"/>
      <c r="D24" s="2"/>
      <c r="E24" s="2"/>
      <c r="F24" s="2"/>
      <c r="G24" s="2"/>
      <c r="H24" s="2"/>
      <c r="I24" s="2"/>
      <c r="J24" s="2"/>
      <c r="K24" s="17" t="s">
        <v>181</v>
      </c>
      <c r="L24" s="2"/>
    </row>
    <row r="25" spans="1:12" x14ac:dyDescent="0.2">
      <c r="A25" s="2"/>
      <c r="B25" s="2"/>
      <c r="C25" s="2"/>
      <c r="D25" s="2"/>
      <c r="E25" s="2"/>
      <c r="F25" s="2"/>
      <c r="G25" s="2"/>
      <c r="H25" s="2"/>
      <c r="I25" s="2"/>
      <c r="J25" s="2"/>
      <c r="K25" s="2"/>
      <c r="L25" s="2"/>
    </row>
    <row r="26" spans="1:12" x14ac:dyDescent="0.2">
      <c r="A26" s="2"/>
      <c r="B26" s="2"/>
      <c r="C26" s="2"/>
      <c r="D26" s="2"/>
      <c r="E26" s="2"/>
      <c r="F26" s="2"/>
      <c r="G26" s="2"/>
      <c r="H26" s="2"/>
      <c r="I26" s="2"/>
      <c r="J26" s="2"/>
      <c r="K26" s="2"/>
      <c r="L26" s="2"/>
    </row>
  </sheetData>
  <sheetProtection password="CCDF" sheet="1" objects="1" scenarios="1" selectLockedCells="1"/>
  <protectedRanges>
    <protectedRange sqref="A12" name="Bereich1_5_1"/>
  </protectedRanges>
  <mergeCells count="9">
    <mergeCell ref="A16:G16"/>
    <mergeCell ref="A17:G17"/>
    <mergeCell ref="A9:G9"/>
    <mergeCell ref="A10:G10"/>
    <mergeCell ref="A13:G13"/>
    <mergeCell ref="A14:G14"/>
    <mergeCell ref="A15:G15"/>
    <mergeCell ref="A11:G11"/>
    <mergeCell ref="A12:G12"/>
  </mergeCells>
  <hyperlinks>
    <hyperlink ref="C22" r:id="rId1"/>
    <hyperlink ref="K24" r:id="rId2"/>
    <hyperlink ref="C7" r:id="rId3"/>
  </hyperlinks>
  <pageMargins left="0.7" right="0.7" top="0.78740157499999996" bottom="0.78740157499999996" header="0.3" footer="0.3"/>
  <pageSetup paperSize="9" orientation="portrait"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27"/>
  <sheetViews>
    <sheetView workbookViewId="0"/>
  </sheetViews>
  <sheetFormatPr baseColWidth="10" defaultColWidth="0" defaultRowHeight="14.25" customHeight="1" zeroHeight="1" x14ac:dyDescent="0.2"/>
  <cols>
    <col min="1" max="1" width="11" style="1" customWidth="1"/>
    <col min="2" max="2" width="6.75" style="1" customWidth="1"/>
    <col min="3" max="3" width="12.375" style="1" customWidth="1"/>
    <col min="4" max="6" width="11" style="1" customWidth="1"/>
    <col min="7" max="7" width="24.25" style="1" customWidth="1"/>
    <col min="8" max="8" width="7.75" style="1" customWidth="1"/>
    <col min="9" max="9" width="3.625" style="1" customWidth="1"/>
    <col min="10" max="10" width="14.375" style="1" customWidth="1"/>
    <col min="11" max="11" width="8.375" style="1" customWidth="1"/>
    <col min="12" max="12" width="11" style="1" customWidth="1"/>
    <col min="13" max="16384" width="11" style="1" hidden="1"/>
  </cols>
  <sheetData>
    <row r="1" spans="1:12" s="15" customFormat="1" ht="28.5" customHeight="1" x14ac:dyDescent="0.25">
      <c r="A1" s="176" t="s">
        <v>380</v>
      </c>
      <c r="B1" s="165"/>
      <c r="C1" s="165"/>
      <c r="D1" s="165"/>
      <c r="E1" s="165"/>
      <c r="F1" s="165"/>
      <c r="G1" s="165"/>
      <c r="H1" s="165"/>
      <c r="I1" s="165"/>
      <c r="J1" s="165"/>
      <c r="K1" s="165"/>
      <c r="L1" s="165"/>
    </row>
    <row r="2" spans="1:12" x14ac:dyDescent="0.2">
      <c r="A2" s="2"/>
      <c r="B2" s="2"/>
      <c r="C2" s="2"/>
      <c r="D2" s="2"/>
      <c r="E2" s="2"/>
      <c r="F2" s="2"/>
      <c r="G2" s="2"/>
      <c r="H2" s="2"/>
      <c r="I2" s="2"/>
      <c r="J2" s="2"/>
      <c r="K2" s="2"/>
      <c r="L2" s="2"/>
    </row>
    <row r="3" spans="1:12" ht="15" x14ac:dyDescent="0.25">
      <c r="A3" s="165" t="s">
        <v>385</v>
      </c>
      <c r="B3" s="177"/>
      <c r="C3" s="2"/>
      <c r="D3" s="2"/>
      <c r="E3" s="2"/>
      <c r="F3" s="2"/>
      <c r="G3" s="2"/>
      <c r="H3" s="2"/>
      <c r="I3" s="2"/>
      <c r="J3" s="2"/>
      <c r="K3" s="2"/>
      <c r="L3" s="2"/>
    </row>
    <row r="4" spans="1:12" x14ac:dyDescent="0.2">
      <c r="A4" s="2"/>
      <c r="B4" s="2"/>
      <c r="C4" s="2"/>
      <c r="D4" s="2"/>
      <c r="E4" s="2"/>
      <c r="F4" s="2"/>
      <c r="G4" s="2"/>
      <c r="H4" s="2"/>
      <c r="I4" s="2"/>
      <c r="J4" s="2"/>
      <c r="K4" s="2"/>
      <c r="L4" s="2"/>
    </row>
    <row r="5" spans="1:12" s="14" customFormat="1" ht="43.5" customHeight="1" x14ac:dyDescent="0.2">
      <c r="A5" s="310" t="s">
        <v>381</v>
      </c>
      <c r="B5" s="310"/>
      <c r="C5" s="310"/>
      <c r="D5" s="310"/>
      <c r="E5" s="310"/>
      <c r="F5" s="310"/>
      <c r="G5" s="173"/>
      <c r="H5" s="164"/>
      <c r="I5" s="164"/>
      <c r="J5" s="164"/>
      <c r="K5" s="164"/>
      <c r="L5" s="164"/>
    </row>
    <row r="6" spans="1:12" s="14" customFormat="1" ht="51" customHeight="1" x14ac:dyDescent="0.2">
      <c r="A6" s="308" t="s">
        <v>382</v>
      </c>
      <c r="B6" s="308"/>
      <c r="C6" s="308"/>
      <c r="D6" s="308"/>
      <c r="E6" s="308"/>
      <c r="F6" s="308"/>
      <c r="G6" s="172"/>
      <c r="H6" s="164"/>
      <c r="I6" s="164"/>
      <c r="J6" s="164"/>
      <c r="K6" s="164"/>
      <c r="L6" s="164"/>
    </row>
    <row r="7" spans="1:12" s="14" customFormat="1" ht="60.75" customHeight="1" x14ac:dyDescent="0.2">
      <c r="A7" s="311" t="s">
        <v>383</v>
      </c>
      <c r="B7" s="311"/>
      <c r="C7" s="311"/>
      <c r="D7" s="311"/>
      <c r="E7" s="311"/>
      <c r="F7" s="311"/>
      <c r="G7" s="171"/>
      <c r="H7" s="164"/>
      <c r="I7" s="164"/>
      <c r="J7" s="164"/>
      <c r="K7" s="164"/>
      <c r="L7" s="164"/>
    </row>
    <row r="8" spans="1:12" s="14" customFormat="1" ht="54.75" customHeight="1" x14ac:dyDescent="0.2">
      <c r="A8" s="308" t="s">
        <v>384</v>
      </c>
      <c r="B8" s="308"/>
      <c r="C8" s="308"/>
      <c r="D8" s="308"/>
      <c r="E8" s="308"/>
      <c r="F8" s="308"/>
      <c r="G8" s="172"/>
      <c r="H8" s="164"/>
      <c r="I8" s="164"/>
      <c r="J8" s="164"/>
      <c r="K8" s="164"/>
      <c r="L8" s="164"/>
    </row>
    <row r="9" spans="1:12" s="14" customFormat="1" ht="43.5" customHeight="1" x14ac:dyDescent="0.2">
      <c r="A9" s="313"/>
      <c r="B9" s="314"/>
      <c r="C9" s="314"/>
      <c r="D9" s="314"/>
      <c r="E9" s="314"/>
      <c r="F9" s="314"/>
      <c r="G9" s="314"/>
      <c r="H9" s="164"/>
      <c r="I9" s="164"/>
      <c r="J9" s="164"/>
      <c r="K9" s="164"/>
      <c r="L9" s="164"/>
    </row>
    <row r="10" spans="1:12" s="14" customFormat="1" ht="21" customHeight="1" x14ac:dyDescent="0.25">
      <c r="A10" s="165" t="s">
        <v>386</v>
      </c>
      <c r="B10" s="165"/>
      <c r="C10" s="165"/>
      <c r="D10" s="165"/>
      <c r="E10" s="165"/>
      <c r="F10" s="165"/>
      <c r="G10" s="165"/>
      <c r="H10" s="164"/>
      <c r="I10" s="164"/>
      <c r="J10" s="164"/>
      <c r="K10" s="164"/>
      <c r="L10" s="164"/>
    </row>
    <row r="11" spans="1:12" s="14" customFormat="1" ht="14.25" customHeight="1" x14ac:dyDescent="0.2">
      <c r="A11" s="308"/>
      <c r="B11" s="309"/>
      <c r="C11" s="309"/>
      <c r="D11" s="309"/>
      <c r="E11" s="309"/>
      <c r="F11" s="309"/>
      <c r="G11" s="309"/>
      <c r="H11" s="164"/>
      <c r="I11" s="164"/>
      <c r="J11" s="164"/>
      <c r="K11" s="164"/>
      <c r="L11" s="164"/>
    </row>
    <row r="12" spans="1:12" s="14" customFormat="1" ht="43.5" customHeight="1" x14ac:dyDescent="0.2">
      <c r="A12" s="310" t="s">
        <v>387</v>
      </c>
      <c r="B12" s="310"/>
      <c r="C12" s="310"/>
      <c r="D12" s="310"/>
      <c r="E12" s="310"/>
      <c r="F12" s="310"/>
      <c r="G12" s="310"/>
      <c r="H12" s="164"/>
      <c r="I12" s="315"/>
      <c r="J12" s="315"/>
      <c r="K12" s="315"/>
      <c r="L12" s="315"/>
    </row>
    <row r="13" spans="1:12" s="14" customFormat="1" ht="43.5" customHeight="1" x14ac:dyDescent="0.2">
      <c r="A13" s="316" t="s">
        <v>388</v>
      </c>
      <c r="B13" s="316"/>
      <c r="C13" s="316"/>
      <c r="D13" s="316"/>
      <c r="E13" s="316"/>
      <c r="F13" s="316"/>
      <c r="G13" s="316"/>
      <c r="H13" s="164"/>
      <c r="I13" s="164"/>
      <c r="J13" s="164"/>
      <c r="K13" s="164"/>
      <c r="L13" s="164"/>
    </row>
    <row r="14" spans="1:12" s="14" customFormat="1" ht="35.1" customHeight="1" x14ac:dyDescent="0.2">
      <c r="A14" s="319" t="s">
        <v>389</v>
      </c>
      <c r="B14" s="319"/>
      <c r="C14" s="319"/>
      <c r="D14" s="319"/>
      <c r="E14" s="319"/>
      <c r="F14" s="319"/>
      <c r="G14" s="319"/>
      <c r="H14" s="175"/>
      <c r="I14" s="164"/>
      <c r="J14" s="164"/>
      <c r="K14" s="164"/>
      <c r="L14" s="164"/>
    </row>
    <row r="15" spans="1:12" ht="35.1" customHeight="1" x14ac:dyDescent="0.2">
      <c r="A15" s="317" t="str">
        <f>IF(Tabelle1!$O$2=1,"2) Berechnung des Wärmeenergiebedarfes Heizung und Trinkwarmwasser mit DIN V 4701-10 (mit der verwendeten EnEV-Software)","2) Berechnung der Erzeugernutzwärmeabgabe an Heizung und für Trinkwarmwasser mit DIN V 18599 (mit der verwendeten EnEV-Software)")</f>
        <v>2) Berechnung des Wärmeenergiebedarfes Heizung und Trinkwarmwasser mit DIN V 4701-10 (mit der verwendeten EnEV-Software)</v>
      </c>
      <c r="B15" s="317"/>
      <c r="C15" s="317"/>
      <c r="D15" s="317"/>
      <c r="E15" s="317"/>
      <c r="F15" s="317"/>
      <c r="G15" s="317"/>
      <c r="H15" s="2"/>
      <c r="I15" s="2"/>
      <c r="J15" s="2"/>
      <c r="K15" s="2"/>
      <c r="L15" s="2"/>
    </row>
    <row r="16" spans="1:12" ht="35.1" customHeight="1" x14ac:dyDescent="0.2">
      <c r="A16" s="317" t="s">
        <v>391</v>
      </c>
      <c r="B16" s="317"/>
      <c r="C16" s="317"/>
      <c r="D16" s="317"/>
      <c r="E16" s="317"/>
      <c r="F16" s="317"/>
      <c r="G16" s="317"/>
      <c r="H16" s="2"/>
      <c r="I16" s="2"/>
      <c r="J16" s="2"/>
      <c r="K16" s="2"/>
      <c r="L16" s="2"/>
    </row>
    <row r="17" spans="1:12" x14ac:dyDescent="0.2">
      <c r="A17" s="174" t="s">
        <v>393</v>
      </c>
      <c r="B17" s="178"/>
      <c r="C17" s="178"/>
      <c r="D17" s="178"/>
      <c r="E17" s="178"/>
      <c r="F17" s="178"/>
      <c r="G17" s="178"/>
      <c r="H17" s="2"/>
      <c r="I17" s="2"/>
      <c r="J17" s="2"/>
      <c r="K17" s="2"/>
      <c r="L17" s="2"/>
    </row>
    <row r="18" spans="1:12" x14ac:dyDescent="0.2">
      <c r="A18" s="174" t="s">
        <v>394</v>
      </c>
      <c r="B18" s="178"/>
      <c r="C18" s="178"/>
      <c r="D18" s="178"/>
      <c r="E18" s="178"/>
      <c r="F18" s="178"/>
      <c r="G18" s="178"/>
      <c r="H18" s="2"/>
      <c r="I18" s="2"/>
      <c r="J18" s="2"/>
      <c r="K18" s="2"/>
      <c r="L18" s="2"/>
    </row>
    <row r="19" spans="1:12" x14ac:dyDescent="0.2">
      <c r="A19" s="174" t="s">
        <v>395</v>
      </c>
      <c r="B19" s="178"/>
      <c r="C19" s="179"/>
      <c r="D19" s="178"/>
      <c r="E19" s="178"/>
      <c r="F19" s="178"/>
      <c r="G19" s="178"/>
      <c r="H19" s="2"/>
      <c r="I19" s="2"/>
      <c r="J19" s="2"/>
      <c r="K19" s="2"/>
      <c r="L19" s="2"/>
    </row>
    <row r="20" spans="1:12" x14ac:dyDescent="0.2">
      <c r="A20" s="174" t="s">
        <v>396</v>
      </c>
      <c r="B20" s="178"/>
      <c r="C20" s="178"/>
      <c r="D20" s="178"/>
      <c r="E20" s="178"/>
      <c r="F20" s="178"/>
      <c r="G20" s="178"/>
      <c r="H20" s="2"/>
      <c r="I20" s="2"/>
      <c r="J20" s="2"/>
      <c r="K20" s="2"/>
      <c r="L20" s="2"/>
    </row>
    <row r="21" spans="1:12" ht="35.1" customHeight="1" x14ac:dyDescent="0.2">
      <c r="A21" s="317" t="s">
        <v>392</v>
      </c>
      <c r="B21" s="317"/>
      <c r="C21" s="317"/>
      <c r="D21" s="317"/>
      <c r="E21" s="317"/>
      <c r="F21" s="317"/>
      <c r="G21" s="317"/>
      <c r="H21" s="2"/>
      <c r="I21" s="2"/>
      <c r="J21" s="2"/>
      <c r="K21" s="180"/>
      <c r="L21" s="2"/>
    </row>
    <row r="22" spans="1:12" x14ac:dyDescent="0.2">
      <c r="A22" s="318" t="s">
        <v>397</v>
      </c>
      <c r="B22" s="318"/>
      <c r="C22" s="318"/>
      <c r="D22" s="318"/>
      <c r="E22" s="318"/>
      <c r="F22" s="318"/>
      <c r="G22" s="318"/>
      <c r="H22" s="2"/>
      <c r="I22" s="2"/>
      <c r="J22" s="2"/>
      <c r="K22" s="2"/>
      <c r="L22" s="2"/>
    </row>
    <row r="23" spans="1:12" ht="26.25" customHeight="1" x14ac:dyDescent="0.2">
      <c r="A23" s="311" t="str">
        <f>IF(Tabelle1!$O$2=1," • Die Wärmeerzeugungsanlage ist als Nah-/Fernwärme mit dem berechneten Primärenergiefaktor Wärme fp und 
   Erzeugeraufwandszahl e_H,g=1,0 und e_TW,g=1,0 zu definieren.", " • Die Wärmeerzeugungsanlage ist als Nah-/Fernwärme mit dem berechneten Primärenergiefaktor Wärme f_p und 
   Wärmeverlust der Fernwärme-Hausstation Q_h,gen=0,0 und Q_tw,gen=0,0 zu definieren.")</f>
        <v xml:space="preserve"> • Die Wärmeerzeugungsanlage ist als Nah-/Fernwärme mit dem berechneten Primärenergiefaktor Wärme fp und 
   Erzeugeraufwandszahl e_H,g=1,0 und e_TW,g=1,0 zu definieren.</v>
      </c>
      <c r="B23" s="311"/>
      <c r="C23" s="311"/>
      <c r="D23" s="311"/>
      <c r="E23" s="311"/>
      <c r="F23" s="311"/>
      <c r="G23" s="311"/>
      <c r="H23" s="2"/>
      <c r="I23" s="2"/>
      <c r="J23" s="2"/>
      <c r="K23" s="2"/>
      <c r="L23" s="2"/>
    </row>
    <row r="24" spans="1:12" ht="26.25" customHeight="1" x14ac:dyDescent="0.2">
      <c r="A24" s="311" t="str">
        <f>IF(Tabelle1!$O$2=1," • Ist dies nicht möglich, kann im Tool der Primärenergiefaktor Wärme fp so angepasst werden, dass mit den 
   Erzeugeraufwandszahlen e_H,g=1,01 und e_TW,g=1,14 gerechnet werden kann.", " • Ist dies nicht möglich, kann im Tool der Primärenergiefaktor Wärme fp so angepasst werden, dass mit den üblichen 
   Wärmeverlusten der Fernwärme-Hausstation Q_h,gen und Q_tw,gen gerechnet werden kann.")</f>
        <v xml:space="preserve"> • Ist dies nicht möglich, kann im Tool der Primärenergiefaktor Wärme fp so angepasst werden, dass mit den 
   Erzeugeraufwandszahlen e_H,g=1,01 und e_TW,g=1,14 gerechnet werden kann.</v>
      </c>
      <c r="B24" s="311"/>
      <c r="C24" s="311"/>
      <c r="D24" s="311"/>
      <c r="E24" s="311"/>
      <c r="F24" s="311"/>
      <c r="G24" s="311"/>
      <c r="H24" s="2"/>
      <c r="I24" s="2"/>
      <c r="J24" s="2"/>
      <c r="K24" s="2"/>
      <c r="L24" s="2"/>
    </row>
    <row r="25" spans="1:12" ht="14.25" customHeight="1" x14ac:dyDescent="0.2">
      <c r="A25" s="311" t="s">
        <v>398</v>
      </c>
      <c r="B25" s="311"/>
      <c r="C25" s="311"/>
      <c r="D25" s="311"/>
      <c r="E25" s="311"/>
      <c r="F25" s="311"/>
      <c r="G25" s="311"/>
      <c r="H25" s="2"/>
      <c r="I25" s="2"/>
      <c r="J25" s="2"/>
      <c r="K25" s="2"/>
      <c r="L25" s="2"/>
    </row>
    <row r="26" spans="1:12" ht="14.25" customHeight="1" x14ac:dyDescent="0.2">
      <c r="A26" s="2"/>
      <c r="B26" s="2"/>
      <c r="C26" s="2"/>
      <c r="D26" s="2"/>
      <c r="E26" s="2"/>
      <c r="F26" s="2"/>
      <c r="G26" s="2"/>
      <c r="H26" s="2"/>
      <c r="I26" s="2"/>
      <c r="J26" s="2"/>
      <c r="K26" s="2"/>
      <c r="L26" s="2"/>
    </row>
    <row r="27" spans="1:12" ht="14.25" customHeight="1" x14ac:dyDescent="0.2">
      <c r="A27" s="2"/>
      <c r="B27" s="2"/>
      <c r="C27" s="2"/>
      <c r="D27" s="2"/>
      <c r="E27" s="2"/>
      <c r="F27" s="2"/>
      <c r="G27" s="2"/>
      <c r="H27" s="2"/>
      <c r="I27" s="2"/>
      <c r="J27" s="2"/>
      <c r="K27" s="2"/>
      <c r="L27" s="2"/>
    </row>
  </sheetData>
  <sheetProtection password="CCDF" sheet="1" objects="1" scenarios="1" selectLockedCells="1"/>
  <protectedRanges>
    <protectedRange sqref="A9" name="Bereich1_5_1"/>
  </protectedRanges>
  <mergeCells count="17">
    <mergeCell ref="A21:G21"/>
    <mergeCell ref="A22:G22"/>
    <mergeCell ref="A23:G23"/>
    <mergeCell ref="A25:G25"/>
    <mergeCell ref="A14:G14"/>
    <mergeCell ref="A15:G15"/>
    <mergeCell ref="A16:G16"/>
    <mergeCell ref="A24:G24"/>
    <mergeCell ref="I12:L12"/>
    <mergeCell ref="A5:F5"/>
    <mergeCell ref="A11:G11"/>
    <mergeCell ref="A12:G12"/>
    <mergeCell ref="A13:G13"/>
    <mergeCell ref="A9:G9"/>
    <mergeCell ref="A7:F7"/>
    <mergeCell ref="A8:F8"/>
    <mergeCell ref="A6:F6"/>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from>
                    <xdr:col>6</xdr:col>
                    <xdr:colOff>514350</xdr:colOff>
                    <xdr:row>12</xdr:row>
                    <xdr:rowOff>504825</xdr:rowOff>
                  </from>
                  <to>
                    <xdr:col>8</xdr:col>
                    <xdr:colOff>133350</xdr:colOff>
                    <xdr:row>13</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XFC78"/>
  <sheetViews>
    <sheetView tabSelected="1" zoomScaleNormal="100" workbookViewId="0">
      <selection activeCell="C7" sqref="C7:D7"/>
    </sheetView>
  </sheetViews>
  <sheetFormatPr baseColWidth="10" defaultColWidth="11" defaultRowHeight="15" zeroHeight="1" x14ac:dyDescent="0.25"/>
  <cols>
    <col min="1" max="1" width="2.375" style="155" customWidth="1"/>
    <col min="2" max="2" width="22.5" style="151" customWidth="1"/>
    <col min="3" max="3" width="7.875" style="151" customWidth="1"/>
    <col min="4" max="4" width="24.875" style="156" customWidth="1"/>
    <col min="5" max="5" width="9.25" style="156" customWidth="1"/>
    <col min="6" max="6" width="22.875" style="156" customWidth="1"/>
    <col min="7" max="7" width="15.5" style="151" customWidth="1"/>
    <col min="8" max="8" width="15.875" style="151" customWidth="1"/>
    <col min="9" max="9" width="3.625" style="151" hidden="1" customWidth="1"/>
    <col min="10" max="10" width="2.5" style="158" customWidth="1"/>
    <col min="11" max="11" width="0.125" style="151" customWidth="1"/>
    <col min="12" max="12" width="14" style="151" hidden="1" customWidth="1"/>
    <col min="13" max="16382" width="11" style="151" hidden="1" customWidth="1"/>
    <col min="16383" max="16383" width="6.5" style="151" hidden="1" customWidth="1"/>
    <col min="16384" max="16384" width="1.75" style="151" hidden="1" customWidth="1"/>
  </cols>
  <sheetData>
    <row r="1" spans="1:12" s="194" customFormat="1" ht="14.25" x14ac:dyDescent="0.2">
      <c r="A1" s="191"/>
      <c r="B1" s="192"/>
      <c r="C1" s="192"/>
      <c r="D1" s="192"/>
      <c r="E1" s="192"/>
      <c r="F1" s="192"/>
      <c r="G1" s="192"/>
      <c r="H1" s="192"/>
      <c r="I1" s="192"/>
      <c r="J1" s="193"/>
    </row>
    <row r="2" spans="1:12" s="200" customFormat="1" ht="22.5" customHeight="1" x14ac:dyDescent="0.4">
      <c r="A2" s="195"/>
      <c r="B2" s="196" t="s">
        <v>326</v>
      </c>
      <c r="C2" s="197"/>
      <c r="D2" s="197"/>
      <c r="E2" s="197"/>
      <c r="F2" s="197"/>
      <c r="G2" s="197"/>
      <c r="H2" s="198" t="str">
        <f>Hinweise!A3</f>
        <v>Version: 2016-02</v>
      </c>
      <c r="I2" s="197"/>
      <c r="J2" s="140"/>
      <c r="K2" s="199"/>
      <c r="L2" s="199"/>
    </row>
    <row r="3" spans="1:12" s="204" customFormat="1" ht="6.75" customHeight="1" x14ac:dyDescent="0.2">
      <c r="A3" s="201"/>
      <c r="B3" s="3"/>
      <c r="C3" s="3"/>
      <c r="D3" s="3"/>
      <c r="E3" s="3"/>
      <c r="F3" s="3"/>
      <c r="G3" s="3"/>
      <c r="H3" s="3"/>
      <c r="I3" s="202"/>
      <c r="J3" s="101"/>
      <c r="K3" s="97"/>
      <c r="L3" s="203"/>
    </row>
    <row r="4" spans="1:12" s="204" customFormat="1" ht="17.25" customHeight="1" x14ac:dyDescent="0.25">
      <c r="A4" s="201"/>
      <c r="B4" s="10" t="s">
        <v>132</v>
      </c>
      <c r="C4" s="3"/>
      <c r="D4" s="3"/>
      <c r="E4" s="3"/>
      <c r="F4" s="3"/>
      <c r="G4" s="3"/>
      <c r="H4" s="3"/>
      <c r="I4" s="202"/>
      <c r="J4" s="101"/>
      <c r="K4" s="97"/>
      <c r="L4" s="203"/>
    </row>
    <row r="5" spans="1:12" s="204" customFormat="1" ht="7.5" customHeight="1" x14ac:dyDescent="0.2">
      <c r="A5" s="201"/>
      <c r="B5" s="3"/>
      <c r="C5" s="3"/>
      <c r="D5" s="3"/>
      <c r="E5" s="3"/>
      <c r="F5" s="3"/>
      <c r="G5" s="3"/>
      <c r="H5" s="3"/>
      <c r="I5" s="202"/>
      <c r="J5" s="101"/>
      <c r="K5" s="97"/>
      <c r="L5" s="203"/>
    </row>
    <row r="6" spans="1:12" s="204" customFormat="1" ht="18" customHeight="1" x14ac:dyDescent="0.2">
      <c r="A6" s="201"/>
      <c r="B6" s="120" t="s">
        <v>133</v>
      </c>
      <c r="C6" s="332"/>
      <c r="D6" s="330"/>
      <c r="E6" s="3"/>
      <c r="F6" s="321" t="s">
        <v>135</v>
      </c>
      <c r="G6" s="329"/>
      <c r="H6" s="330"/>
      <c r="I6" s="149"/>
      <c r="J6" s="101"/>
      <c r="K6" s="97"/>
      <c r="L6" s="203"/>
    </row>
    <row r="7" spans="1:12" s="204" customFormat="1" ht="18" customHeight="1" x14ac:dyDescent="0.2">
      <c r="A7" s="201"/>
      <c r="B7" s="120" t="s">
        <v>66</v>
      </c>
      <c r="C7" s="332"/>
      <c r="D7" s="330"/>
      <c r="E7" s="3"/>
      <c r="F7" s="321"/>
      <c r="G7" s="330"/>
      <c r="H7" s="330"/>
      <c r="I7" s="149"/>
      <c r="J7" s="101"/>
      <c r="K7" s="97"/>
      <c r="L7" s="203"/>
    </row>
    <row r="8" spans="1:12" s="204" customFormat="1" ht="18" customHeight="1" x14ac:dyDescent="0.2">
      <c r="A8" s="201"/>
      <c r="B8" s="120" t="s">
        <v>134</v>
      </c>
      <c r="C8" s="332"/>
      <c r="D8" s="330"/>
      <c r="E8" s="100"/>
      <c r="F8" s="188" t="s">
        <v>136</v>
      </c>
      <c r="G8" s="331">
        <f ca="1">TODAY()</f>
        <v>42627</v>
      </c>
      <c r="H8" s="331"/>
      <c r="I8" s="150"/>
      <c r="J8" s="101"/>
      <c r="K8" s="97"/>
      <c r="L8" s="203"/>
    </row>
    <row r="9" spans="1:12" s="204" customFormat="1" ht="18" customHeight="1" x14ac:dyDescent="0.2">
      <c r="A9" s="201"/>
      <c r="B9" s="120" t="s">
        <v>154</v>
      </c>
      <c r="C9" s="264"/>
      <c r="D9" s="262"/>
      <c r="E9" s="100"/>
      <c r="F9" s="100"/>
      <c r="G9" s="100"/>
      <c r="H9" s="3"/>
      <c r="I9" s="3"/>
      <c r="J9" s="101"/>
      <c r="K9" s="97"/>
      <c r="L9" s="203"/>
    </row>
    <row r="10" spans="1:12" s="156" customFormat="1" ht="8.25" customHeight="1" x14ac:dyDescent="0.25">
      <c r="A10" s="205"/>
      <c r="B10" s="3"/>
      <c r="C10" s="3"/>
      <c r="D10" s="3"/>
      <c r="E10" s="3"/>
      <c r="F10" s="3"/>
      <c r="G10" s="206"/>
      <c r="H10" s="207"/>
      <c r="I10" s="3"/>
      <c r="J10" s="102"/>
      <c r="K10" s="97"/>
    </row>
    <row r="11" spans="1:12" s="156" customFormat="1" ht="3" customHeight="1" x14ac:dyDescent="0.25">
      <c r="A11" s="205"/>
      <c r="B11" s="4"/>
      <c r="C11" s="4"/>
      <c r="D11" s="4"/>
      <c r="E11" s="4"/>
      <c r="F11" s="4"/>
      <c r="G11" s="4"/>
      <c r="H11" s="4"/>
      <c r="I11" s="3"/>
      <c r="J11" s="102"/>
      <c r="K11" s="97"/>
    </row>
    <row r="12" spans="1:12" s="156" customFormat="1" ht="3" customHeight="1" x14ac:dyDescent="0.25">
      <c r="A12" s="205"/>
      <c r="B12" s="3"/>
      <c r="C12" s="3"/>
      <c r="D12" s="3"/>
      <c r="E12" s="3"/>
      <c r="F12" s="3"/>
      <c r="G12" s="3"/>
      <c r="H12" s="3"/>
      <c r="I12" s="3"/>
      <c r="J12" s="102"/>
      <c r="K12" s="97"/>
    </row>
    <row r="13" spans="1:12" s="156" customFormat="1" ht="15" customHeight="1" x14ac:dyDescent="0.25">
      <c r="A13" s="205"/>
      <c r="B13" s="10" t="s">
        <v>347</v>
      </c>
      <c r="C13" s="3"/>
      <c r="D13" s="3"/>
      <c r="E13" s="100"/>
      <c r="F13" s="3"/>
      <c r="G13" s="100"/>
      <c r="H13" s="100"/>
      <c r="I13" s="208"/>
      <c r="J13" s="102"/>
      <c r="K13" s="97"/>
      <c r="L13" s="209"/>
    </row>
    <row r="14" spans="1:12" s="156" customFormat="1" ht="4.5" customHeight="1" x14ac:dyDescent="0.25">
      <c r="A14" s="210"/>
      <c r="B14" s="3"/>
      <c r="C14" s="3"/>
      <c r="D14" s="3"/>
      <c r="E14" s="3"/>
      <c r="F14" s="3"/>
      <c r="G14" s="100"/>
      <c r="H14" s="100"/>
      <c r="I14" s="211"/>
      <c r="J14" s="102"/>
      <c r="K14" s="97"/>
      <c r="L14" s="209"/>
    </row>
    <row r="15" spans="1:12" s="156" customFormat="1" ht="15" customHeight="1" x14ac:dyDescent="0.25">
      <c r="A15" s="210"/>
      <c r="B15" s="212" t="s">
        <v>335</v>
      </c>
      <c r="C15" s="3"/>
      <c r="D15" s="3"/>
      <c r="E15" s="3"/>
      <c r="F15" s="212" t="s">
        <v>336</v>
      </c>
      <c r="G15" s="3"/>
      <c r="H15" s="213"/>
      <c r="I15" s="100"/>
      <c r="J15" s="102"/>
      <c r="K15" s="97"/>
      <c r="L15" s="209"/>
    </row>
    <row r="16" spans="1:12" s="218" customFormat="1" ht="16.5" customHeight="1" x14ac:dyDescent="0.2">
      <c r="A16" s="214"/>
      <c r="B16" s="275"/>
      <c r="C16" s="135"/>
      <c r="D16" s="215"/>
      <c r="E16" s="215"/>
      <c r="F16" s="5"/>
      <c r="G16" s="7"/>
      <c r="H16" s="138">
        <f>Tabelle1!G17</f>
        <v>10</v>
      </c>
      <c r="I16" s="216"/>
      <c r="J16" s="103"/>
      <c r="K16" s="97"/>
      <c r="L16" s="217"/>
    </row>
    <row r="17" spans="1:12" s="156" customFormat="1" ht="18" customHeight="1" x14ac:dyDescent="0.25">
      <c r="A17" s="221"/>
      <c r="B17" s="321" t="s">
        <v>140</v>
      </c>
      <c r="C17" s="321"/>
      <c r="D17" s="152"/>
      <c r="E17" s="3"/>
      <c r="F17" s="321" t="s">
        <v>341</v>
      </c>
      <c r="G17" s="323"/>
      <c r="H17" s="323"/>
      <c r="I17" s="100"/>
      <c r="J17" s="102"/>
      <c r="K17" s="97"/>
      <c r="L17" s="209"/>
    </row>
    <row r="18" spans="1:12" s="156" customFormat="1" ht="18" customHeight="1" x14ac:dyDescent="0.25">
      <c r="A18" s="210"/>
      <c r="B18" s="219"/>
      <c r="C18" s="215"/>
      <c r="D18" s="215"/>
      <c r="E18" s="3"/>
      <c r="F18" s="321"/>
      <c r="G18" s="323"/>
      <c r="H18" s="323"/>
      <c r="I18" s="100"/>
      <c r="J18" s="102"/>
      <c r="K18" s="97"/>
    </row>
    <row r="19" spans="1:12" s="156" customFormat="1" ht="39" customHeight="1" x14ac:dyDescent="0.25">
      <c r="A19" s="210"/>
      <c r="B19" s="189" t="str">
        <f>IF(Tabelle1!$O$2=1,"Wärmeenergiebedarf Heizung,                  in [kWh/a]","Erzeugernutzwärmeabgabe an das Heizsystem, in [kWh/a]")</f>
        <v>Wärmeenergiebedarf Heizung,                  in [kWh/a]</v>
      </c>
      <c r="C19" s="6" t="s">
        <v>158</v>
      </c>
      <c r="D19" s="265"/>
      <c r="E19" s="3"/>
      <c r="F19" s="207"/>
      <c r="G19" s="3"/>
      <c r="H19" s="3"/>
      <c r="I19" s="3"/>
      <c r="J19" s="102"/>
      <c r="K19" s="97"/>
    </row>
    <row r="20" spans="1:12" s="218" customFormat="1" ht="39" customHeight="1" x14ac:dyDescent="0.2">
      <c r="A20" s="220" t="s">
        <v>38</v>
      </c>
      <c r="B20" s="189" t="str">
        <f>IF(Tabelle1!$O$2=1,"Wärmeenergiebedarf Trinkwarmwasser, in [kWh/a]","Erzeugernutzwärmeabgabe für Trinkwarmwasser, in [kWh/a]")</f>
        <v>Wärmeenergiebedarf Trinkwarmwasser, in [kWh/a]</v>
      </c>
      <c r="C20" s="119" t="s">
        <v>159</v>
      </c>
      <c r="D20" s="265"/>
      <c r="E20" s="215"/>
      <c r="F20" s="321" t="s">
        <v>155</v>
      </c>
      <c r="G20" s="321"/>
      <c r="H20" s="333"/>
      <c r="I20" s="7"/>
      <c r="J20" s="103"/>
      <c r="K20" s="97"/>
    </row>
    <row r="21" spans="1:12" s="156" customFormat="1" ht="18" customHeight="1" x14ac:dyDescent="0.25">
      <c r="A21" s="221" t="s">
        <v>37</v>
      </c>
      <c r="B21" s="222"/>
      <c r="C21" s="7"/>
      <c r="D21" s="223" t="str">
        <f>IF(Tabelle1!$O$2=1,IF(AND(D19&gt;0,D20&gt;0,OR(D22&lt;6000,D22&gt;50000)),"Gesamter Wärmeenergiebedarf nicht im Gültigkeitsbereich",IF(D19="","",IF(OR(AND(D19&gt;0,D19&lt;3000),D19&gt;45000),"Wärmeenergiebedarf Heizung nicht im Gültigkeitsbereich", IF(D20="","",IF(OR(AND(D20&gt;0,D20&lt;2000),D20&gt;15000),"Wärmeenergiebedarf TWW nicht im Gültigkeitsbereich", IF(OR(D22&lt;6000,D22&gt;50000),"Gesamter Wärmeenergiebedarf nicht im Gültigkeitsbereich","")))))),IF(AND(D19&gt;0,D20&gt;0,OR(D22&lt;6000,D22&gt;50000)),"Erzeugernutzwärmeabgabe an das Gebäude nicht im Gültigkeitsbereich",IF(OR(AND(D19&gt;0,D19&lt;3000),D19&gt;45000),"Erzeugernutzwärmeabgabe Heizung nicht im Gültigkeitsbereich", IF(D20="","",IF(OR(AND(D20&gt;0,D20&lt;2000),D20&gt;15000),"Erzeugernutzwärmeabgabe für TWW nicht im Gültigkeitsbereich", IF(AND(NOT(D22=""),OR(D22&lt;6000,D22&gt;50000)),"Erzeugernutzwärmeabgabe an das Gebäude nicht im Gültigkeitsbereich",""))))))</f>
        <v/>
      </c>
      <c r="E21" s="3"/>
      <c r="F21" s="321" t="s">
        <v>156</v>
      </c>
      <c r="G21" s="321"/>
      <c r="H21" s="334"/>
      <c r="I21" s="100"/>
      <c r="J21" s="102"/>
      <c r="K21" s="97"/>
    </row>
    <row r="22" spans="1:12" s="218" customFormat="1" ht="30" customHeight="1" x14ac:dyDescent="0.2">
      <c r="A22" s="220" t="s">
        <v>67</v>
      </c>
      <c r="B22" s="189" t="str">
        <f>IF(Tabelle1!$O$2=1,"Gesamter Wärmeenergiebedarf, in [kWh/a]","Erzeugernutzwärmeabgabe an das Gebäude, in [kWh/a]")</f>
        <v>Gesamter Wärmeenergiebedarf, in [kWh/a]</v>
      </c>
      <c r="C22" s="119" t="s">
        <v>148</v>
      </c>
      <c r="D22" s="121" t="str">
        <f>IF(OR(D19="",D20=""),"",D19+D20)</f>
        <v/>
      </c>
      <c r="E22" s="7"/>
      <c r="F22" s="189" t="s">
        <v>363</v>
      </c>
      <c r="G22" s="6" t="s">
        <v>163</v>
      </c>
      <c r="H22" s="335"/>
      <c r="I22" s="7"/>
      <c r="J22" s="103"/>
      <c r="K22" s="97"/>
    </row>
    <row r="23" spans="1:12" s="218" customFormat="1" ht="30" customHeight="1" x14ac:dyDescent="0.2">
      <c r="A23" s="224" t="s">
        <v>168</v>
      </c>
      <c r="B23" s="219"/>
      <c r="C23" s="215"/>
      <c r="D23" s="223" t="str">
        <f>Tabelle1!I22</f>
        <v/>
      </c>
      <c r="E23" s="215"/>
      <c r="F23" s="189" t="s">
        <v>364</v>
      </c>
      <c r="G23" s="6" t="s">
        <v>164</v>
      </c>
      <c r="H23" s="335"/>
      <c r="I23" s="7"/>
      <c r="J23" s="103"/>
      <c r="K23" s="97"/>
    </row>
    <row r="24" spans="1:12" s="218" customFormat="1" ht="30" customHeight="1" x14ac:dyDescent="0.2">
      <c r="A24" s="214"/>
      <c r="B24" s="187" t="s">
        <v>390</v>
      </c>
      <c r="C24" s="119" t="s">
        <v>161</v>
      </c>
      <c r="D24" s="265"/>
      <c r="E24" s="215"/>
      <c r="F24" s="322" t="s">
        <v>178</v>
      </c>
      <c r="G24" s="322"/>
      <c r="H24" s="334"/>
      <c r="I24" s="7"/>
      <c r="J24" s="103"/>
      <c r="K24" s="97"/>
    </row>
    <row r="25" spans="1:12" s="218" customFormat="1" ht="30" customHeight="1" x14ac:dyDescent="0.2">
      <c r="A25" s="214"/>
      <c r="B25" s="189" t="s">
        <v>374</v>
      </c>
      <c r="C25" s="6" t="s">
        <v>162</v>
      </c>
      <c r="D25" s="266"/>
      <c r="E25" s="215"/>
      <c r="F25" s="189" t="s">
        <v>365</v>
      </c>
      <c r="G25" s="6" t="s">
        <v>165</v>
      </c>
      <c r="H25" s="336"/>
      <c r="I25" s="7"/>
      <c r="J25" s="103"/>
      <c r="K25" s="97"/>
    </row>
    <row r="26" spans="1:12" s="156" customFormat="1" ht="18" customHeight="1" x14ac:dyDescent="0.3">
      <c r="A26" s="210"/>
      <c r="B26" s="219"/>
      <c r="C26" s="7"/>
      <c r="D26" s="234" t="str">
        <f>IF(D24&gt;=1000,"Gebäudenutzfäche zu hoch",IF(D25&gt;=90,"Auslegungsrücklauftemperatur des Heiznetzes zu hoch",""))</f>
        <v/>
      </c>
      <c r="E26" s="3"/>
      <c r="F26" s="187" t="s">
        <v>366</v>
      </c>
      <c r="G26" s="168" t="s">
        <v>166</v>
      </c>
      <c r="H26" s="268" t="s">
        <v>441</v>
      </c>
      <c r="I26" s="100"/>
      <c r="J26" s="102"/>
      <c r="K26" s="97"/>
    </row>
    <row r="27" spans="1:12" s="156" customFormat="1" ht="30" customHeight="1" x14ac:dyDescent="0.25">
      <c r="A27" s="210"/>
      <c r="B27" s="321" t="s">
        <v>170</v>
      </c>
      <c r="C27" s="321"/>
      <c r="D27" s="153"/>
      <c r="E27" s="3"/>
      <c r="F27" s="207"/>
      <c r="G27" s="225" t="str">
        <f>IF(H26="Bitte eintragen","Volumen in [l]:","")</f>
        <v>Volumen in [l]:</v>
      </c>
      <c r="H27" s="273"/>
      <c r="I27" s="3"/>
      <c r="J27" s="102"/>
      <c r="K27" s="97"/>
    </row>
    <row r="28" spans="1:12" s="218" customFormat="1" ht="30" customHeight="1" x14ac:dyDescent="0.2">
      <c r="A28" s="220">
        <f>Tabelle1!T84</f>
        <v>1</v>
      </c>
      <c r="B28" s="137" t="s">
        <v>113</v>
      </c>
      <c r="C28" s="138" t="s">
        <v>173</v>
      </c>
      <c r="D28" s="267"/>
      <c r="E28" s="215"/>
      <c r="F28" s="219"/>
      <c r="G28" s="215"/>
      <c r="H28" s="226" t="str">
        <f>Tabelle1!I33</f>
        <v/>
      </c>
      <c r="I28" s="215"/>
      <c r="J28" s="103"/>
      <c r="K28" s="97"/>
    </row>
    <row r="29" spans="1:12" s="218" customFormat="1" ht="30" customHeight="1" x14ac:dyDescent="0.3">
      <c r="A29" s="214"/>
      <c r="B29" s="3"/>
      <c r="C29" s="227"/>
      <c r="D29" s="228" t="str">
        <f>IF(D28="","",IF(D28&gt;1,"Nicht im Gültigkeitsbereich",""))</f>
        <v/>
      </c>
      <c r="E29" s="215"/>
      <c r="F29" s="189" t="s">
        <v>324</v>
      </c>
      <c r="G29" s="6" t="s">
        <v>149</v>
      </c>
      <c r="H29" s="337"/>
      <c r="I29" s="7"/>
      <c r="J29" s="103"/>
      <c r="K29" s="129"/>
    </row>
    <row r="30" spans="1:12" s="156" customFormat="1" ht="30" customHeight="1" x14ac:dyDescent="0.25">
      <c r="A30" s="210"/>
      <c r="B30" s="212" t="s">
        <v>337</v>
      </c>
      <c r="C30" s="7"/>
      <c r="D30" s="263"/>
      <c r="E30" s="3"/>
      <c r="F30" s="189" t="s">
        <v>362</v>
      </c>
      <c r="G30" s="6" t="s">
        <v>150</v>
      </c>
      <c r="H30" s="337"/>
      <c r="I30" s="100"/>
      <c r="J30" s="102"/>
      <c r="K30" s="97"/>
    </row>
    <row r="31" spans="1:12" s="156" customFormat="1" ht="18" customHeight="1" x14ac:dyDescent="0.25">
      <c r="A31" s="210"/>
      <c r="B31" s="215"/>
      <c r="C31" s="7"/>
      <c r="D31" s="7"/>
      <c r="E31" s="3"/>
      <c r="F31" s="187" t="s">
        <v>361</v>
      </c>
      <c r="G31" s="6" t="s">
        <v>151</v>
      </c>
      <c r="H31" s="336"/>
      <c r="I31" s="100"/>
      <c r="J31" s="102"/>
      <c r="K31" s="97"/>
    </row>
    <row r="32" spans="1:12" s="156" customFormat="1" ht="30" customHeight="1" x14ac:dyDescent="0.25">
      <c r="A32" s="210"/>
      <c r="B32" s="189" t="s">
        <v>358</v>
      </c>
      <c r="C32" s="6" t="s">
        <v>160</v>
      </c>
      <c r="D32" s="152"/>
      <c r="E32" s="3"/>
      <c r="F32" s="189" t="s">
        <v>360</v>
      </c>
      <c r="G32" s="6" t="s">
        <v>152</v>
      </c>
      <c r="H32" s="336"/>
      <c r="I32" s="100"/>
      <c r="J32" s="102"/>
      <c r="K32" s="97"/>
    </row>
    <row r="33" spans="1:11" s="218" customFormat="1" ht="30" customHeight="1" x14ac:dyDescent="0.2">
      <c r="A33" s="220">
        <f>Tabelle1!J16</f>
        <v>2</v>
      </c>
      <c r="B33" s="229" t="s">
        <v>375</v>
      </c>
      <c r="C33" s="137" t="s">
        <v>329</v>
      </c>
      <c r="D33" s="272"/>
      <c r="E33" s="215"/>
      <c r="F33" s="189" t="s">
        <v>367</v>
      </c>
      <c r="G33" s="6" t="s">
        <v>167</v>
      </c>
      <c r="H33" s="336"/>
      <c r="I33" s="7"/>
      <c r="J33" s="103"/>
      <c r="K33" s="97"/>
    </row>
    <row r="34" spans="1:11" s="218" customFormat="1" ht="30" customHeight="1" x14ac:dyDescent="0.2">
      <c r="A34" s="220">
        <f>Tabelle1!G17</f>
        <v>10</v>
      </c>
      <c r="B34" s="137" t="s">
        <v>313</v>
      </c>
      <c r="C34" s="137" t="s">
        <v>330</v>
      </c>
      <c r="D34" s="274"/>
      <c r="E34" s="215"/>
      <c r="F34" s="189" t="s">
        <v>359</v>
      </c>
      <c r="G34" s="118" t="s">
        <v>153</v>
      </c>
      <c r="H34" s="336"/>
      <c r="I34" s="215"/>
      <c r="J34" s="103"/>
      <c r="K34" s="97"/>
    </row>
    <row r="35" spans="1:11" s="156" customFormat="1" ht="18" customHeight="1" x14ac:dyDescent="0.25">
      <c r="A35" s="210"/>
      <c r="B35" s="137" t="s">
        <v>309</v>
      </c>
      <c r="C35" s="137" t="s">
        <v>331</v>
      </c>
      <c r="D35" s="274"/>
      <c r="E35" s="3"/>
      <c r="F35" s="230"/>
      <c r="G35" s="231"/>
      <c r="H35" s="231"/>
      <c r="I35" s="213"/>
      <c r="J35" s="141"/>
      <c r="K35" s="97"/>
    </row>
    <row r="36" spans="1:11" s="156" customFormat="1" ht="30" customHeight="1" x14ac:dyDescent="0.25">
      <c r="A36" s="210"/>
      <c r="B36" s="229" t="s">
        <v>328</v>
      </c>
      <c r="C36" s="137" t="s">
        <v>332</v>
      </c>
      <c r="D36" s="274"/>
      <c r="E36" s="3"/>
      <c r="F36" s="162" t="s">
        <v>408</v>
      </c>
      <c r="G36" s="138" t="s">
        <v>338</v>
      </c>
      <c r="H36" s="269"/>
      <c r="I36" s="213"/>
      <c r="J36" s="141"/>
      <c r="K36" s="97"/>
    </row>
    <row r="37" spans="1:11" s="218" customFormat="1" ht="30" customHeight="1" x14ac:dyDescent="0.2">
      <c r="A37" s="214"/>
      <c r="B37" s="215"/>
      <c r="C37" s="215"/>
      <c r="D37" s="215"/>
      <c r="E37" s="215"/>
      <c r="F37" s="8" t="s">
        <v>179</v>
      </c>
      <c r="G37" s="143" t="s">
        <v>339</v>
      </c>
      <c r="H37" s="270"/>
      <c r="I37" s="138"/>
      <c r="J37" s="142"/>
      <c r="K37" s="97"/>
    </row>
    <row r="38" spans="1:11" s="218" customFormat="1" ht="30" customHeight="1" x14ac:dyDescent="0.2">
      <c r="A38" s="214"/>
      <c r="B38" s="8" t="s">
        <v>357</v>
      </c>
      <c r="C38" s="138" t="s">
        <v>333</v>
      </c>
      <c r="D38" s="161" t="str">
        <f>IF(ISERROR(IF(OR(D33="",D34="",D35="",D36="",D33="-",D34="-",D35="-",D36="-",D33=0,D34=0,D35=0,D36=0),"",IF(AND(D39="",D40="",H40="",D58="",B39="",D22&gt;0),'Nutzungsgrad BW'!E56,""))),"",IF(OR(D33="",D34="",D35="",D36="",D33="-",D34="-",D35="-",D36="-",D33=0,D34=0,D35=0,D36=0),"",IF(AND(D39="",D40="",H40="",D58="",B39="",D22&gt;0),'Nutzungsgrad BW'!E56,"")))</f>
        <v/>
      </c>
      <c r="E38" s="215"/>
      <c r="F38" s="8" t="s">
        <v>409</v>
      </c>
      <c r="G38" s="143" t="s">
        <v>340</v>
      </c>
      <c r="H38" s="271"/>
      <c r="I38" s="138"/>
      <c r="J38" s="142"/>
      <c r="K38" s="97"/>
    </row>
    <row r="39" spans="1:11" s="218" customFormat="1" ht="39.75" customHeight="1" x14ac:dyDescent="0.2">
      <c r="A39" s="214"/>
      <c r="B39" s="232" t="str">
        <f>IF(H21="","",IF(OR(D22="",D24="",D25=""),"Bitte Gebäudedaten eintragen",IF(Tabelle1!J16=2,"",IF(AND(Tabelle1!T84=2,Berechnungstool!D28=""),"Bitte Netznutzungsgrad eintragen",IF(Tabelle1!S72="","Zuerst BZ-Daten laden",IF(AND(Tabelle1!J16=1,OR(D34="",D35="",D36="",D33="",D34="-",D35="-",D36="-",D33="-")),"Bitte Daten eintragen",""))))))</f>
        <v/>
      </c>
      <c r="C39" s="215"/>
      <c r="D39" s="233" t="str">
        <f>IF(ISERROR(IF(AND(Tabelle1!J16=1,D33&lt;&gt;""),IF('Nutzungsgrad BW'!O3&gt;('Nutzungsgrad BW'!E2+Tabelle1!N45),"Geräteleistung für den 
Auslegungsfall zu niedrig!",""),"")),"",IF(AND(Tabelle1!J16=1,D33&lt;&gt;""),IF('Nutzungsgrad BW'!O3&gt;('Nutzungsgrad BW'!E2+Tabelle1!N45),"Geräteleistung für den 
Auslegungsfall zu niedrig!",""),""))</f>
        <v/>
      </c>
      <c r="E39" s="215"/>
      <c r="F39" s="8" t="s">
        <v>407</v>
      </c>
      <c r="G39" s="143" t="s">
        <v>405</v>
      </c>
      <c r="H39" s="270"/>
      <c r="I39" s="138"/>
      <c r="J39" s="142"/>
      <c r="K39" s="97"/>
    </row>
    <row r="40" spans="1:11" s="156" customFormat="1" ht="25.5" customHeight="1" x14ac:dyDescent="0.3">
      <c r="A40" s="210"/>
      <c r="B40" s="3"/>
      <c r="C40" s="227"/>
      <c r="D40" s="234" t="str">
        <f>IF(D34="","",IF(D34&gt;1.15,"Wirkungsgrad nicht im Gültigkeitsbereich",IF(D35="","",IF(D35&gt;1.15,"Wirkungsgrad nicht im Gültigkeitsbereich",""))))</f>
        <v/>
      </c>
      <c r="E40" s="3"/>
      <c r="F40" s="3"/>
      <c r="G40" s="3"/>
      <c r="H40" s="234" t="str">
        <f>IF(ISERROR(IF(AND(Tabelle1!G17=13,Berechnungstool!H20&lt;&gt;"",OR(Berechnungstool!H22="",Berechnungstool!H24="",Berechnungstool!H29="",Berechnungstool!H30="",Berechnungstool!H31="",Berechnungstool!H32="",Berechnungstool!H34="")),"Bitte Brennstoffzellenkennwerte eintragen",IF(AND(H29&lt;&gt;"",H30&lt;&gt;"",H31&lt;&gt;"",OR(Tabelle1!N45&lt;0.3,Tabelle1!N45&gt;5)), "Thermische Leistung der BZ nicht im Gültigkeitsbereich",IF(AND(H21="ja",H34&lt;&gt;"",OR(H36="",H37="",H38="",H39="")),"Bitte Brennstoffzellenkennwerte eintragen",IF(AND(Tabelle1!G17=13,Berechnungstool!H21="ja",Berechnungstool!H36&lt;&gt;"",Berechnungstool!H37&lt;&gt;"",Berechnungstool!H38&lt;&gt;"",Berechnungstool!H39&lt;&gt;"",OR((Berechnungstool!H38/Berechnungstool!H39)*Berechnungstool!H37&lt;Berechnungstool!H36*0.9,(Berechnungstool!H38/Berechnungstool!H39)*Berechnungstool!H37&gt;Berechnungstool!H36*1.1,H36&gt;H32)),"Überprüfen Sie die Kennwerte bei unterer Modulationsgrenze",""))))),"",IF(AND(Tabelle1!G17=13,Berechnungstool!H20&lt;&gt;"",OR(Berechnungstool!H22="",Berechnungstool!H24="",Berechnungstool!H29="",Berechnungstool!H30="",Berechnungstool!H31="",Berechnungstool!H32="",Berechnungstool!H34="")),"Bitte Brennstoffzellenkennwerte eintragen",IF(AND(H29&lt;&gt;"",H30&lt;&gt;"",H31&lt;&gt;"",OR(Tabelle1!N45&lt;0.3,Tabelle1!N45&gt;5)), "Thermische Leistung der BZ nicht im Gültigkeitsbereich",IF(AND(H21="ja",H34&lt;&gt;"",OR(H36="",H37="",H38="",H39="")),"Bitte Brennstoffzellenkennwerte eintragen",IF(AND(Tabelle1!G17=13,Berechnungstool!H21="ja",Berechnungstool!H36&lt;&gt;"",Berechnungstool!H37&lt;&gt;"",Berechnungstool!H38&lt;&gt;"",Berechnungstool!H39&lt;&gt;"",OR((Berechnungstool!H38/Berechnungstool!H39)*Berechnungstool!H37&lt;Berechnungstool!H36*0.9,(Berechnungstool!H38/Berechnungstool!H39)*Berechnungstool!H37&gt;Berechnungstool!H36*1.1,H36&gt;H32)),"Überprüfen Sie die Kennwerte bei unterer Modulationsgrenze","")))))</f>
        <v/>
      </c>
      <c r="I40" s="100"/>
      <c r="J40" s="102"/>
      <c r="K40" s="97"/>
    </row>
    <row r="41" spans="1:11" s="154" customFormat="1" ht="3" customHeight="1" x14ac:dyDescent="0.25">
      <c r="A41" s="205"/>
      <c r="B41" s="4"/>
      <c r="C41" s="9"/>
      <c r="D41" s="9"/>
      <c r="E41" s="4"/>
      <c r="F41" s="4"/>
      <c r="G41" s="4"/>
      <c r="H41" s="4"/>
      <c r="I41" s="4"/>
      <c r="J41" s="102"/>
      <c r="K41" s="97"/>
    </row>
    <row r="42" spans="1:11" s="3" customFormat="1" ht="8.25" customHeight="1" x14ac:dyDescent="0.25">
      <c r="A42" s="205"/>
      <c r="E42" s="100"/>
      <c r="J42" s="102"/>
      <c r="K42" s="97"/>
    </row>
    <row r="43" spans="1:11" s="156" customFormat="1" ht="14.25" customHeight="1" x14ac:dyDescent="0.25">
      <c r="A43" s="205"/>
      <c r="B43" s="10" t="s">
        <v>128</v>
      </c>
      <c r="C43" s="3"/>
      <c r="D43" s="11"/>
      <c r="E43" s="12"/>
      <c r="F43" s="3"/>
      <c r="G43" s="3"/>
      <c r="H43" s="3"/>
      <c r="I43" s="3"/>
      <c r="J43" s="102"/>
      <c r="K43" s="97"/>
    </row>
    <row r="44" spans="1:11" s="156" customFormat="1" ht="9" customHeight="1" x14ac:dyDescent="0.25">
      <c r="A44" s="205"/>
      <c r="B44" s="100"/>
      <c r="C44" s="100"/>
      <c r="D44" s="100"/>
      <c r="E44" s="100"/>
      <c r="F44" s="100"/>
      <c r="G44" s="100"/>
      <c r="H44" s="100"/>
      <c r="I44" s="100"/>
      <c r="J44" s="102"/>
      <c r="K44" s="97"/>
    </row>
    <row r="45" spans="1:11" s="156" customFormat="1" ht="18" customHeight="1" x14ac:dyDescent="0.25">
      <c r="A45" s="205"/>
      <c r="B45" s="321" t="s">
        <v>131</v>
      </c>
      <c r="C45" s="321"/>
      <c r="D45" s="321"/>
      <c r="E45" s="321"/>
      <c r="F45" s="122"/>
      <c r="G45" s="3"/>
      <c r="H45" s="100"/>
      <c r="I45" s="100"/>
      <c r="J45" s="102"/>
      <c r="K45" s="97"/>
    </row>
    <row r="46" spans="1:11" s="156" customFormat="1" ht="18" customHeight="1" x14ac:dyDescent="0.25">
      <c r="A46" s="205"/>
      <c r="B46" s="321" t="s">
        <v>157</v>
      </c>
      <c r="C46" s="321"/>
      <c r="D46" s="321"/>
      <c r="E46" s="321"/>
      <c r="F46" s="122"/>
      <c r="G46" s="3"/>
      <c r="H46" s="100"/>
      <c r="I46" s="100"/>
      <c r="J46" s="102"/>
      <c r="K46" s="97"/>
    </row>
    <row r="47" spans="1:11" s="156" customFormat="1" ht="18" customHeight="1" x14ac:dyDescent="0.25">
      <c r="A47" s="205"/>
      <c r="B47" s="222"/>
      <c r="C47" s="222"/>
      <c r="D47" s="222"/>
      <c r="E47" s="7"/>
      <c r="F47" s="7"/>
      <c r="G47" s="100"/>
      <c r="H47" s="100"/>
      <c r="I47" s="100"/>
      <c r="J47" s="102"/>
      <c r="K47" s="97"/>
    </row>
    <row r="48" spans="1:11" s="156" customFormat="1" ht="18" customHeight="1" x14ac:dyDescent="0.25">
      <c r="A48" s="205"/>
      <c r="B48" s="321" t="s">
        <v>138</v>
      </c>
      <c r="C48" s="321"/>
      <c r="D48" s="321"/>
      <c r="E48" s="261" t="s">
        <v>93</v>
      </c>
      <c r="F48" s="123"/>
      <c r="G48" s="100"/>
      <c r="H48" s="100"/>
      <c r="I48" s="100"/>
      <c r="J48" s="102"/>
      <c r="K48" s="97"/>
    </row>
    <row r="49" spans="1:11" s="156" customFormat="1" ht="18" customHeight="1" x14ac:dyDescent="0.25">
      <c r="A49" s="205"/>
      <c r="B49" s="325" t="s">
        <v>410</v>
      </c>
      <c r="C49" s="325"/>
      <c r="D49" s="325"/>
      <c r="E49" s="13" t="s">
        <v>180</v>
      </c>
      <c r="F49" s="124"/>
      <c r="G49" s="100"/>
      <c r="H49" s="100"/>
      <c r="I49" s="100"/>
      <c r="J49" s="102"/>
      <c r="K49" s="97"/>
    </row>
    <row r="50" spans="1:11" s="156" customFormat="1" ht="18" customHeight="1" x14ac:dyDescent="0.25">
      <c r="A50" s="205"/>
      <c r="B50" s="321" t="s">
        <v>368</v>
      </c>
      <c r="C50" s="321"/>
      <c r="D50" s="321"/>
      <c r="E50" s="13" t="s">
        <v>370</v>
      </c>
      <c r="F50" s="125"/>
      <c r="G50" s="100"/>
      <c r="H50" s="100"/>
      <c r="I50" s="100"/>
      <c r="J50" s="102"/>
      <c r="K50" s="97"/>
    </row>
    <row r="51" spans="1:11" s="156" customFormat="1" ht="18" customHeight="1" x14ac:dyDescent="0.25">
      <c r="A51" s="205"/>
      <c r="B51" s="321" t="s">
        <v>369</v>
      </c>
      <c r="C51" s="321"/>
      <c r="D51" s="321"/>
      <c r="E51" s="13" t="s">
        <v>372</v>
      </c>
      <c r="F51" s="125"/>
      <c r="G51" s="100"/>
      <c r="H51" s="100"/>
      <c r="I51" s="100"/>
      <c r="J51" s="102"/>
      <c r="K51" s="97"/>
    </row>
    <row r="52" spans="1:11" s="3" customFormat="1" ht="18" customHeight="1" x14ac:dyDescent="0.2">
      <c r="A52" s="205"/>
      <c r="B52" s="215"/>
      <c r="C52" s="7"/>
      <c r="D52" s="7"/>
      <c r="E52" s="215"/>
      <c r="F52" s="215"/>
      <c r="J52" s="101"/>
      <c r="K52" s="97"/>
    </row>
    <row r="53" spans="1:11" s="156" customFormat="1" ht="18" customHeight="1" x14ac:dyDescent="0.2">
      <c r="A53" s="201"/>
      <c r="B53" s="324" t="s">
        <v>371</v>
      </c>
      <c r="C53" s="324"/>
      <c r="D53" s="324"/>
      <c r="E53" s="169" t="s">
        <v>376</v>
      </c>
      <c r="F53" s="125"/>
      <c r="G53" s="100"/>
      <c r="H53" s="100"/>
      <c r="I53" s="100"/>
      <c r="J53" s="101"/>
      <c r="K53" s="97"/>
    </row>
    <row r="54" spans="1:11" s="156" customFormat="1" ht="9" customHeight="1" x14ac:dyDescent="0.2">
      <c r="A54" s="201"/>
      <c r="B54" s="260"/>
      <c r="C54" s="260"/>
      <c r="D54" s="260"/>
      <c r="E54" s="260"/>
      <c r="F54" s="260"/>
      <c r="G54" s="100"/>
      <c r="H54" s="100"/>
      <c r="I54" s="100"/>
      <c r="J54" s="101"/>
      <c r="K54" s="97"/>
    </row>
    <row r="55" spans="1:11" s="156" customFormat="1" ht="30" customHeight="1" x14ac:dyDescent="0.2">
      <c r="A55" s="201"/>
      <c r="B55" s="326" t="str">
        <f>IF(Tabelle1!$O$2=1,"Können für die weitere Berechnung in der EnEV-Software die Erzeugeraufwandszahlen e_H,g und e_TW,g abweichend vom Standardwert auf 1,0 gesetzt werden?","Können für die weitere Berechnung in der EnEV-Software die Wärmeverluste der Fernwärme-Hausstation Q_h,gen und Q_tw,gen abweichend vom Standardwert auf Null gesetzt werden?")</f>
        <v>Können für die weitere Berechnung in der EnEV-Software die Erzeugeraufwandszahlen e_H,g und e_TW,g abweichend vom Standardwert auf 1,0 gesetzt werden?</v>
      </c>
      <c r="C55" s="327"/>
      <c r="D55" s="327"/>
      <c r="E55" s="328"/>
      <c r="F55" s="125"/>
      <c r="G55" s="100"/>
      <c r="H55" s="100"/>
      <c r="I55" s="100"/>
      <c r="J55" s="101"/>
      <c r="K55" s="97"/>
    </row>
    <row r="56" spans="1:11" s="156" customFormat="1" ht="9" customHeight="1" x14ac:dyDescent="0.2">
      <c r="A56" s="201"/>
      <c r="B56" s="260"/>
      <c r="C56" s="260"/>
      <c r="D56" s="260"/>
      <c r="E56" s="260"/>
      <c r="F56" s="260"/>
      <c r="G56" s="100"/>
      <c r="H56" s="100"/>
      <c r="I56" s="100"/>
      <c r="J56" s="101"/>
      <c r="K56" s="97"/>
    </row>
    <row r="57" spans="1:11" s="156" customFormat="1" ht="18" customHeight="1" x14ac:dyDescent="0.2">
      <c r="A57" s="205"/>
      <c r="B57" s="324" t="s">
        <v>373</v>
      </c>
      <c r="C57" s="324"/>
      <c r="D57" s="324"/>
      <c r="E57" s="170" t="s">
        <v>377</v>
      </c>
      <c r="F57" s="126"/>
      <c r="G57" s="320" t="str">
        <f>IF(F57="","",IF(Tabelle1!AJ2=3,"  Primärenergiefaktor für weitere Verwendung 
  in EnEV-Software angepasst!",""))</f>
        <v/>
      </c>
      <c r="H57" s="320"/>
      <c r="I57" s="3"/>
      <c r="J57" s="101"/>
      <c r="K57" s="97"/>
    </row>
    <row r="58" spans="1:11" s="156" customFormat="1" ht="18" customHeight="1" x14ac:dyDescent="0.3">
      <c r="A58" s="205"/>
      <c r="B58" s="134"/>
      <c r="C58" s="134"/>
      <c r="D58" s="185"/>
      <c r="E58" s="135"/>
      <c r="F58" s="186"/>
      <c r="G58" s="320"/>
      <c r="H58" s="320"/>
      <c r="I58" s="3"/>
      <c r="J58" s="101"/>
      <c r="K58" s="97"/>
    </row>
    <row r="59" spans="1:11" s="156" customFormat="1" ht="14.25" x14ac:dyDescent="0.2">
      <c r="A59" s="205"/>
      <c r="B59" s="134"/>
      <c r="C59" s="134"/>
      <c r="D59" s="259"/>
      <c r="E59" s="134"/>
      <c r="F59" s="134"/>
      <c r="G59" s="134"/>
      <c r="H59" s="235" t="s">
        <v>344</v>
      </c>
      <c r="J59" s="101"/>
    </row>
    <row r="60" spans="1:11" s="98" customFormat="1" thickBot="1" x14ac:dyDescent="0.25">
      <c r="A60" s="236"/>
      <c r="B60" s="139"/>
      <c r="G60" s="99"/>
      <c r="H60" s="136" t="s">
        <v>334</v>
      </c>
      <c r="J60" s="104"/>
      <c r="K60" s="237"/>
    </row>
    <row r="61" spans="1:11" ht="14.25" hidden="1" x14ac:dyDescent="0.2">
      <c r="J61" s="157"/>
    </row>
    <row r="62" spans="1:11" ht="14.25" hidden="1" x14ac:dyDescent="0.2">
      <c r="J62" s="157"/>
    </row>
    <row r="63" spans="1:11" ht="14.25" hidden="1" x14ac:dyDescent="0.2">
      <c r="J63" s="157"/>
    </row>
    <row r="64" spans="1:11" ht="14.25" hidden="1" x14ac:dyDescent="0.2">
      <c r="J64" s="157"/>
    </row>
    <row r="65" spans="1:10" ht="14.25" hidden="1" x14ac:dyDescent="0.2">
      <c r="J65" s="157"/>
    </row>
    <row r="66" spans="1:10" ht="14.25" hidden="1" x14ac:dyDescent="0.2">
      <c r="J66" s="157"/>
    </row>
    <row r="67" spans="1:10" ht="14.25" hidden="1" x14ac:dyDescent="0.2">
      <c r="J67" s="157"/>
    </row>
    <row r="68" spans="1:10" ht="14.25" hidden="1" x14ac:dyDescent="0.2">
      <c r="J68" s="157"/>
    </row>
    <row r="69" spans="1:10" ht="14.25" hidden="1" x14ac:dyDescent="0.2">
      <c r="J69" s="157"/>
    </row>
    <row r="70" spans="1:10" ht="14.25" hidden="1" x14ac:dyDescent="0.2">
      <c r="J70" s="157"/>
    </row>
    <row r="71" spans="1:10" ht="14.25" hidden="1" x14ac:dyDescent="0.2">
      <c r="J71" s="157"/>
    </row>
    <row r="72" spans="1:10" ht="14.25" hidden="1" x14ac:dyDescent="0.2">
      <c r="J72" s="157"/>
    </row>
    <row r="73" spans="1:10" ht="14.25" hidden="1" x14ac:dyDescent="0.2">
      <c r="J73" s="157"/>
    </row>
    <row r="74" spans="1:10" ht="14.25" hidden="1" x14ac:dyDescent="0.2">
      <c r="J74" s="157"/>
    </row>
    <row r="75" spans="1:10" ht="14.25" hidden="1" x14ac:dyDescent="0.2">
      <c r="J75" s="157"/>
    </row>
    <row r="76" spans="1:10" ht="14.25" hidden="1" x14ac:dyDescent="0.2">
      <c r="J76" s="157"/>
    </row>
    <row r="77" spans="1:10" ht="14.25" hidden="1" x14ac:dyDescent="0.2">
      <c r="A77" s="105"/>
      <c r="B77" s="105"/>
      <c r="C77" s="105"/>
      <c r="D77" s="105"/>
      <c r="E77" s="105"/>
      <c r="F77" s="105"/>
      <c r="G77" s="105"/>
      <c r="H77" s="105"/>
      <c r="I77" s="105"/>
      <c r="J77" s="105"/>
    </row>
    <row r="78" spans="1:10" ht="14.25" hidden="1" x14ac:dyDescent="0.2">
      <c r="A78" s="105"/>
      <c r="B78" s="105"/>
      <c r="C78" s="105"/>
      <c r="D78" s="105"/>
      <c r="E78" s="105"/>
      <c r="F78" s="105"/>
      <c r="G78" s="105"/>
      <c r="H78" s="105"/>
      <c r="I78" s="105"/>
      <c r="J78" s="105"/>
    </row>
  </sheetData>
  <sheetProtection password="CCDF" sheet="1" objects="1" scenarios="1" selectLockedCells="1"/>
  <mergeCells count="23">
    <mergeCell ref="B55:E55"/>
    <mergeCell ref="G6:H7"/>
    <mergeCell ref="G8:H8"/>
    <mergeCell ref="C6:D6"/>
    <mergeCell ref="C7:D7"/>
    <mergeCell ref="C8:D8"/>
    <mergeCell ref="F6:F7"/>
    <mergeCell ref="G57:H58"/>
    <mergeCell ref="B17:C17"/>
    <mergeCell ref="B27:C27"/>
    <mergeCell ref="F20:G20"/>
    <mergeCell ref="F21:G21"/>
    <mergeCell ref="F24:G24"/>
    <mergeCell ref="F17:F18"/>
    <mergeCell ref="G17:H18"/>
    <mergeCell ref="B51:D51"/>
    <mergeCell ref="B53:D53"/>
    <mergeCell ref="B57:D57"/>
    <mergeCell ref="B45:E45"/>
    <mergeCell ref="B46:E46"/>
    <mergeCell ref="B48:D48"/>
    <mergeCell ref="B49:D49"/>
    <mergeCell ref="B50:D50"/>
  </mergeCells>
  <conditionalFormatting sqref="H36:H39">
    <cfRule type="expression" dxfId="25" priority="39">
      <formula>$H$21="ja"</formula>
    </cfRule>
    <cfRule type="expression" dxfId="24" priority="12">
      <formula>AND($A$34=10,$H$21="ja")</formula>
    </cfRule>
  </conditionalFormatting>
  <conditionalFormatting sqref="G36:G39">
    <cfRule type="expression" dxfId="23" priority="49">
      <formula>$H$21="ja"</formula>
    </cfRule>
  </conditionalFormatting>
  <conditionalFormatting sqref="F36:F39">
    <cfRule type="expression" dxfId="22" priority="34">
      <formula>$H$21="ja"</formula>
    </cfRule>
  </conditionalFormatting>
  <conditionalFormatting sqref="D29">
    <cfRule type="expression" dxfId="21" priority="28">
      <formula>$D$27="Gebäudeintegriert"</formula>
    </cfRule>
  </conditionalFormatting>
  <conditionalFormatting sqref="D19">
    <cfRule type="expression" dxfId="20" priority="27">
      <formula>AND($B$39="Bitte Gebäudedaten eintragen",$D$19="",NOT($B$16=""))</formula>
    </cfRule>
  </conditionalFormatting>
  <conditionalFormatting sqref="D25">
    <cfRule type="expression" dxfId="19" priority="26">
      <formula>AND($B$39="Bitte Gebäudedaten eintragen",$D$22&lt;&gt;"",$D$25="")</formula>
    </cfRule>
  </conditionalFormatting>
  <conditionalFormatting sqref="D20">
    <cfRule type="expression" dxfId="18" priority="23">
      <formula>OR($D$21="Wärmeenergiebedarf TWW nicht im Gültigkeitsbereich",$D$21="Erzeugernutzwärmeabgabe für TWW nicht im Gültigkeitsbereich",AND($B$39="Bitte Gebäudedaten eintragen",$D$20="",NOT($B$16="")))</formula>
    </cfRule>
  </conditionalFormatting>
  <conditionalFormatting sqref="G27">
    <cfRule type="expression" dxfId="17" priority="21">
      <formula>$H$26="Bitte eintragen"</formula>
    </cfRule>
  </conditionalFormatting>
  <conditionalFormatting sqref="H27">
    <cfRule type="expression" dxfId="16" priority="52">
      <formula>$F$58="Wärmespeichervolumen"</formula>
    </cfRule>
    <cfRule type="expression" dxfId="15" priority="53">
      <formula>$H$26="Bitte eintragen"</formula>
    </cfRule>
  </conditionalFormatting>
  <conditionalFormatting sqref="D28">
    <cfRule type="expression" dxfId="14" priority="33">
      <formula>$A$28=2</formula>
    </cfRule>
  </conditionalFormatting>
  <conditionalFormatting sqref="B28">
    <cfRule type="expression" dxfId="13" priority="32">
      <formula>$A$28=2</formula>
    </cfRule>
  </conditionalFormatting>
  <conditionalFormatting sqref="C28">
    <cfRule type="expression" dxfId="12" priority="31">
      <formula>$A$28=2</formula>
    </cfRule>
  </conditionalFormatting>
  <conditionalFormatting sqref="B33:C36">
    <cfRule type="expression" dxfId="11" priority="19">
      <formula>$A$33=1</formula>
    </cfRule>
  </conditionalFormatting>
  <conditionalFormatting sqref="B38:C38">
    <cfRule type="expression" dxfId="10" priority="18">
      <formula>$A$33=1</formula>
    </cfRule>
  </conditionalFormatting>
  <conditionalFormatting sqref="D38">
    <cfRule type="expression" dxfId="9" priority="16">
      <formula>$A$33=1</formula>
    </cfRule>
  </conditionalFormatting>
  <conditionalFormatting sqref="H20:H25 H29:H34">
    <cfRule type="expression" dxfId="8" priority="13">
      <formula>$A$34=10</formula>
    </cfRule>
  </conditionalFormatting>
  <conditionalFormatting sqref="F33:H33">
    <cfRule type="expression" dxfId="7" priority="10">
      <formula>$A$34=10</formula>
    </cfRule>
  </conditionalFormatting>
  <conditionalFormatting sqref="H25">
    <cfRule type="expression" dxfId="6" priority="9">
      <formula>AND($A$34=10,$H$24="nein")</formula>
    </cfRule>
  </conditionalFormatting>
  <conditionalFormatting sqref="D24">
    <cfRule type="expression" dxfId="5" priority="8">
      <formula>AND($B$39="Bitte Gebäudedaten eintragen",$D$22&lt;&gt;"",$D$24="")</formula>
    </cfRule>
  </conditionalFormatting>
  <conditionalFormatting sqref="D26">
    <cfRule type="expression" dxfId="4" priority="3">
      <formula>$D$27="Gebäudeintegriert"</formula>
    </cfRule>
  </conditionalFormatting>
  <conditionalFormatting sqref="D33">
    <cfRule type="expression" dxfId="3" priority="11">
      <formula>AND($A$33=1,OR($A$34=2,$A$34=3,$A$34=4,$A$34=5,$A$34=9))</formula>
    </cfRule>
    <cfRule type="expression" dxfId="2" priority="1">
      <formula>AND($A$33=1,OR($A$34=6,$A$34=7,$A$34=8,$A$34=10))</formula>
    </cfRule>
  </conditionalFormatting>
  <conditionalFormatting sqref="D34:D36">
    <cfRule type="expression" dxfId="1" priority="2">
      <formula>AND($A$33=1,OR($A$34=2,$A$34=3,$A$34=4,$A$34=5,$A$34=9))</formula>
    </cfRule>
    <cfRule type="expression" dxfId="0" priority="15">
      <formula>AND($A$33=1,OR($A$34=6,$A$34=7,$A$34=8,$A$34=10))</formula>
    </cfRule>
  </conditionalFormatting>
  <dataValidations count="3">
    <dataValidation type="list" allowBlank="1" showInputMessage="1" showErrorMessage="1" sqref="H20">
      <formula1>$A$20:$A$21</formula1>
    </dataValidation>
    <dataValidation type="list" allowBlank="1" showInputMessage="1" showErrorMessage="1" sqref="H21">
      <formula1>$A$22:$A$23</formula1>
    </dataValidation>
    <dataValidation type="list" allowBlank="1" showInputMessage="1" sqref="H24">
      <formula1>$A$22:$A$23</formula1>
    </dataValidation>
  </dataValidations>
  <pageMargins left="0.51181102362204722" right="0.31496062992125984" top="0.39370078740157483" bottom="0.39370078740157483"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Button 9">
              <controlPr defaultSize="0" print="0" autoFill="0" autoPict="0" macro="[0]!Herstellerdaten_löschen" altText="Brennstoffzellendaten löschen">
                <anchor moveWithCells="1">
                  <from>
                    <xdr:col>5</xdr:col>
                    <xdr:colOff>1438275</xdr:colOff>
                    <xdr:row>13</xdr:row>
                    <xdr:rowOff>0</xdr:rowOff>
                  </from>
                  <to>
                    <xdr:col>7</xdr:col>
                    <xdr:colOff>209550</xdr:colOff>
                    <xdr:row>14</xdr:row>
                    <xdr:rowOff>152400</xdr:rowOff>
                  </to>
                </anchor>
              </controlPr>
            </control>
          </mc:Choice>
        </mc:AlternateContent>
        <mc:AlternateContent xmlns:mc="http://schemas.openxmlformats.org/markup-compatibility/2006">
          <mc:Choice Requires="x14">
            <control shapeId="2066" r:id="rId5" name="Button 18">
              <controlPr defaultSize="0" print="0" autoFill="0" autoPict="0" macro="[0]!Projektdaten_löschen">
                <anchor moveWithCells="1">
                  <from>
                    <xdr:col>5</xdr:col>
                    <xdr:colOff>1628775</xdr:colOff>
                    <xdr:row>8</xdr:row>
                    <xdr:rowOff>104775</xdr:rowOff>
                  </from>
                  <to>
                    <xdr:col>6</xdr:col>
                    <xdr:colOff>1095375</xdr:colOff>
                    <xdr:row>9</xdr:row>
                    <xdr:rowOff>85725</xdr:rowOff>
                  </to>
                </anchor>
              </controlPr>
            </control>
          </mc:Choice>
        </mc:AlternateContent>
        <mc:AlternateContent xmlns:mc="http://schemas.openxmlformats.org/markup-compatibility/2006">
          <mc:Choice Requires="x14">
            <control shapeId="2067" r:id="rId6" name="Button 19">
              <controlPr defaultSize="0" print="0" autoFill="0" autoPict="0" macro="[0]!Gebäudedaten_löschen">
                <anchor moveWithCells="1">
                  <from>
                    <xdr:col>3</xdr:col>
                    <xdr:colOff>180975</xdr:colOff>
                    <xdr:row>13</xdr:row>
                    <xdr:rowOff>0</xdr:rowOff>
                  </from>
                  <to>
                    <xdr:col>3</xdr:col>
                    <xdr:colOff>1438275</xdr:colOff>
                    <xdr:row>14</xdr:row>
                    <xdr:rowOff>152400</xdr:rowOff>
                  </to>
                </anchor>
              </controlPr>
            </control>
          </mc:Choice>
        </mc:AlternateContent>
        <mc:AlternateContent xmlns:mc="http://schemas.openxmlformats.org/markup-compatibility/2006">
          <mc:Choice Requires="x14">
            <control shapeId="2079" r:id="rId7" name="Button 31">
              <controlPr defaultSize="0" print="0" autoFill="0" autoPict="0" macro="[0]!Drucken">
                <anchor moveWithCells="1" sizeWithCells="1">
                  <from>
                    <xdr:col>6</xdr:col>
                    <xdr:colOff>295275</xdr:colOff>
                    <xdr:row>50</xdr:row>
                    <xdr:rowOff>161925</xdr:rowOff>
                  </from>
                  <to>
                    <xdr:col>7</xdr:col>
                    <xdr:colOff>1181100</xdr:colOff>
                    <xdr:row>52</xdr:row>
                    <xdr:rowOff>142875</xdr:rowOff>
                  </to>
                </anchor>
              </controlPr>
            </control>
          </mc:Choice>
        </mc:AlternateContent>
        <mc:AlternateContent xmlns:mc="http://schemas.openxmlformats.org/markup-compatibility/2006">
          <mc:Choice Requires="x14">
            <control shapeId="2466" r:id="rId8" name="Drop Down 418">
              <controlPr defaultSize="0" autoLine="0" autoPict="0" macro="[0]!Modul1.Wärmeerzeugungsanlage">
                <anchor>
                  <from>
                    <xdr:col>3</xdr:col>
                    <xdr:colOff>9525</xdr:colOff>
                    <xdr:row>26</xdr:row>
                    <xdr:rowOff>0</xdr:rowOff>
                  </from>
                  <to>
                    <xdr:col>4</xdr:col>
                    <xdr:colOff>9525</xdr:colOff>
                    <xdr:row>27</xdr:row>
                    <xdr:rowOff>0</xdr:rowOff>
                  </to>
                </anchor>
              </controlPr>
            </control>
          </mc:Choice>
        </mc:AlternateContent>
        <mc:AlternateContent xmlns:mc="http://schemas.openxmlformats.org/markup-compatibility/2006">
          <mc:Choice Requires="x14">
            <control shapeId="2468" r:id="rId9" name="Drop Down 420">
              <controlPr defaultSize="0" autoLine="0" autoPict="0">
                <anchor>
                  <from>
                    <xdr:col>3</xdr:col>
                    <xdr:colOff>0</xdr:colOff>
                    <xdr:row>16</xdr:row>
                    <xdr:rowOff>0</xdr:rowOff>
                  </from>
                  <to>
                    <xdr:col>4</xdr:col>
                    <xdr:colOff>0</xdr:colOff>
                    <xdr:row>17</xdr:row>
                    <xdr:rowOff>0</xdr:rowOff>
                  </to>
                </anchor>
              </controlPr>
            </control>
          </mc:Choice>
        </mc:AlternateContent>
        <mc:AlternateContent xmlns:mc="http://schemas.openxmlformats.org/markup-compatibility/2006">
          <mc:Choice Requires="x14">
            <control shapeId="2469" r:id="rId10" name="Drop Down 421">
              <controlPr defaultSize="0" autoLine="0" autoPict="0" macro="[0]!Daten_Laden">
                <anchor>
                  <from>
                    <xdr:col>6</xdr:col>
                    <xdr:colOff>9525</xdr:colOff>
                    <xdr:row>16</xdr:row>
                    <xdr:rowOff>0</xdr:rowOff>
                  </from>
                  <to>
                    <xdr:col>9</xdr:col>
                    <xdr:colOff>9525</xdr:colOff>
                    <xdr:row>18</xdr:row>
                    <xdr:rowOff>0</xdr:rowOff>
                  </to>
                </anchor>
              </controlPr>
            </control>
          </mc:Choice>
        </mc:AlternateContent>
        <mc:AlternateContent xmlns:mc="http://schemas.openxmlformats.org/markup-compatibility/2006">
          <mc:Choice Requires="x14">
            <control shapeId="2585" r:id="rId11" name="Drop Down 537">
              <controlPr defaultSize="0" autoLine="0" autoPict="0" macro="[0]!Spitzenlastwärmeerzeuger">
                <anchor moveWithCells="1">
                  <from>
                    <xdr:col>3</xdr:col>
                    <xdr:colOff>0</xdr:colOff>
                    <xdr:row>30</xdr:row>
                    <xdr:rowOff>228600</xdr:rowOff>
                  </from>
                  <to>
                    <xdr:col>4</xdr:col>
                    <xdr:colOff>0</xdr:colOff>
                    <xdr:row>32</xdr:row>
                    <xdr:rowOff>0</xdr:rowOff>
                  </to>
                </anchor>
              </controlPr>
            </control>
          </mc:Choice>
        </mc:AlternateContent>
        <mc:AlternateContent xmlns:mc="http://schemas.openxmlformats.org/markup-compatibility/2006">
          <mc:Choice Requires="x14">
            <control shapeId="2586" r:id="rId12" name="Button 538">
              <controlPr defaultSize="0" print="0" autoFill="0" autoPict="0" macro="[0]!Berechnen">
                <anchor moveWithCells="1" sizeWithCells="1">
                  <from>
                    <xdr:col>6</xdr:col>
                    <xdr:colOff>295275</xdr:colOff>
                    <xdr:row>46</xdr:row>
                    <xdr:rowOff>219075</xdr:rowOff>
                  </from>
                  <to>
                    <xdr:col>7</xdr:col>
                    <xdr:colOff>1152525</xdr:colOff>
                    <xdr:row>49</xdr:row>
                    <xdr:rowOff>28575</xdr:rowOff>
                  </to>
                </anchor>
              </controlPr>
            </control>
          </mc:Choice>
        </mc:AlternateContent>
        <mc:AlternateContent xmlns:mc="http://schemas.openxmlformats.org/markup-compatibility/2006">
          <mc:Choice Requires="x14">
            <control shapeId="2593" r:id="rId13" name="Drop Down 545">
              <controlPr defaultSize="0" autoLine="0" autoPict="0">
                <anchor>
                  <from>
                    <xdr:col>5</xdr:col>
                    <xdr:colOff>0</xdr:colOff>
                    <xdr:row>54</xdr:row>
                    <xdr:rowOff>0</xdr:rowOff>
                  </from>
                  <to>
                    <xdr:col>6</xdr:col>
                    <xdr:colOff>0</xdr:colOff>
                    <xdr:row>55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Tabelle1</vt:lpstr>
      <vt:lpstr>Nutzungsgrad BW</vt:lpstr>
      <vt:lpstr>Hinweise</vt:lpstr>
      <vt:lpstr>EnEV-Bewertung</vt:lpstr>
      <vt:lpstr>Berechnungstool</vt:lpstr>
      <vt:lpstr>Gebäudeart</vt:lpstr>
      <vt:lpstr>Hersteller_neu</vt:lpstr>
      <vt:lpstr>Lala</vt:lpstr>
      <vt:lpstr>Wärmeerzeugungsanlage</vt:lpstr>
      <vt:lpstr>WG_Spitzenlastwärmeerzeuger</vt:lpstr>
    </vt:vector>
  </TitlesOfParts>
  <Manager>Bernadetta Winiewska</Manager>
  <Company>ITG Dresden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ITG Dresden</dc:creator>
  <cp:lastModifiedBy>Bernadetta Winiewska</cp:lastModifiedBy>
  <cp:lastPrinted>2016-08-31T08:49:47Z</cp:lastPrinted>
  <dcterms:created xsi:type="dcterms:W3CDTF">2015-02-23T08:03:06Z</dcterms:created>
  <dcterms:modified xsi:type="dcterms:W3CDTF">2016-09-14T07:49:59Z</dcterms:modified>
</cp:coreProperties>
</file>